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35" windowWidth="15480" windowHeight="11595"/>
  </bookViews>
  <sheets>
    <sheet name="Intro" sheetId="18" r:id="rId1"/>
    <sheet name="Binomial Example 1yr" sheetId="19" r:id="rId2"/>
    <sheet name="Binomial Example 12mo" sheetId="20" r:id="rId3"/>
    <sheet name="Sam-McK Formula" sheetId="16" r:id="rId4"/>
    <sheet name="Roth Harbor" sheetId="17" r:id="rId5"/>
    <sheet name="Dvlpt OCC Estn" sheetId="21" r:id="rId6"/>
    <sheet name="EnhancedCapRateOnCost" sheetId="23" r:id="rId7"/>
    <sheet name="footnote29&amp;31" sheetId="22" r:id="rId8"/>
  </sheets>
  <externalReferences>
    <externalReference r:id="rId9"/>
    <externalReference r:id="rId10"/>
  </externalReferences>
  <definedNames>
    <definedName name="__123Graph_AFSAMMCK" hidden="1">[1]Charts!$L$10:$L$175</definedName>
    <definedName name="__123Graph_ASAMMCK1" hidden="1">[1]Charts!$L$10:$L$175</definedName>
    <definedName name="__123Graph_ASAMMCK2" hidden="1">[1]Charts!$L$10:$L$175</definedName>
    <definedName name="__123Graph_BFSAMMCK" hidden="1">[1]Charts!$M$10:$M$175</definedName>
    <definedName name="__123Graph_BSAMMCK2" localSheetId="3" hidden="1">[2]Charts!#REF!</definedName>
    <definedName name="__123Graph_BSAMMCK2" hidden="1">[1]Charts!#REF!</definedName>
    <definedName name="__123Graph_CSAMMCK1" localSheetId="3" hidden="1">[2]Charts!#REF!</definedName>
    <definedName name="__123Graph_CSAMMCK1" hidden="1">[1]Charts!#REF!</definedName>
    <definedName name="__123Graph_CSAMMCK2" hidden="1">[1]Charts!$M$10:$M$175</definedName>
    <definedName name="__123Graph_DSAMMCK1" hidden="1">[1]Charts!$M$10:$M$175</definedName>
    <definedName name="__123Graph_XFSAMMCK" hidden="1">[1]Charts!$K$10:$K$175</definedName>
    <definedName name="__123Graph_XSAMMCK1" hidden="1">[1]Charts!$K$10:$K$175</definedName>
    <definedName name="__123Graph_XSAMMCK2" hidden="1">[1]Charts!$K$10:$K$175</definedName>
    <definedName name="ALPH">#REF!</definedName>
    <definedName name="DA">#REF!</definedName>
    <definedName name="DB">#REF!</definedName>
    <definedName name="S">#REF!</definedName>
    <definedName name="VSTAR">#REF!</definedName>
  </definedNames>
  <calcPr calcId="125725"/>
</workbook>
</file>

<file path=xl/calcChain.xml><?xml version="1.0" encoding="utf-8"?>
<calcChain xmlns="http://schemas.openxmlformats.org/spreadsheetml/2006/main">
  <c r="B5" i="16"/>
  <c r="B3" i="23" s="1"/>
  <c r="B4" i="16"/>
  <c r="B7" i="23"/>
  <c r="B8"/>
  <c r="C39" i="16"/>
  <c r="B5" i="23"/>
  <c r="B6"/>
  <c r="EP12" i="22"/>
  <c r="ED12"/>
  <c r="EE12" s="1"/>
  <c r="ED14"/>
  <c r="EP6"/>
  <c r="EF6"/>
  <c r="EG6" s="1"/>
  <c r="EH6" s="1"/>
  <c r="EI6" s="1"/>
  <c r="EJ6" s="1"/>
  <c r="EK6" s="1"/>
  <c r="EL6" s="1"/>
  <c r="EM6" s="1"/>
  <c r="EN6" s="1"/>
  <c r="EO6" s="1"/>
  <c r="EE6"/>
  <c r="ED6"/>
  <c r="B3"/>
  <c r="C4"/>
  <c r="C5"/>
  <c r="P6"/>
  <c r="Q6"/>
  <c r="R6" s="1"/>
  <c r="S6" s="1"/>
  <c r="T6" s="1"/>
  <c r="U6" s="1"/>
  <c r="V6" s="1"/>
  <c r="W6" s="1"/>
  <c r="X6"/>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H7"/>
  <c r="N7"/>
  <c r="N9" s="1"/>
  <c r="E8"/>
  <c r="H8"/>
  <c r="K8"/>
  <c r="N8"/>
  <c r="C9"/>
  <c r="C10" s="1"/>
  <c r="D9"/>
  <c r="D10" s="1"/>
  <c r="E9"/>
  <c r="F9"/>
  <c r="G9"/>
  <c r="G10" s="1"/>
  <c r="I9"/>
  <c r="J9"/>
  <c r="L9"/>
  <c r="L10" s="1"/>
  <c r="M9"/>
  <c r="E10"/>
  <c r="F10"/>
  <c r="I10"/>
  <c r="J10"/>
  <c r="M10"/>
  <c r="N10"/>
  <c r="C13"/>
  <c r="D13"/>
  <c r="E13"/>
  <c r="E14" s="1"/>
  <c r="F13"/>
  <c r="F14" s="1"/>
  <c r="G13"/>
  <c r="H13"/>
  <c r="I13"/>
  <c r="J13"/>
  <c r="L13"/>
  <c r="M13"/>
  <c r="N13"/>
  <c r="C14"/>
  <c r="D14"/>
  <c r="G14"/>
  <c r="H14"/>
  <c r="N19"/>
  <c r="C20"/>
  <c r="D20"/>
  <c r="D21" s="1"/>
  <c r="E20"/>
  <c r="E21" s="1"/>
  <c r="F20"/>
  <c r="F21" s="1"/>
  <c r="G20"/>
  <c r="H20"/>
  <c r="I20"/>
  <c r="I21" s="1"/>
  <c r="J20"/>
  <c r="J21" s="1"/>
  <c r="K20"/>
  <c r="L20"/>
  <c r="L21" s="1"/>
  <c r="M20"/>
  <c r="M21" s="1"/>
  <c r="C21"/>
  <c r="G21"/>
  <c r="H21"/>
  <c r="K21"/>
  <c r="B35"/>
  <c r="B66" s="1"/>
  <c r="B37"/>
  <c r="C53" s="1"/>
  <c r="C38"/>
  <c r="C39"/>
  <c r="H41"/>
  <c r="E42"/>
  <c r="H42"/>
  <c r="K42"/>
  <c r="N42"/>
  <c r="C43"/>
  <c r="C44" s="1"/>
  <c r="D43"/>
  <c r="F43"/>
  <c r="F44" s="1"/>
  <c r="G43"/>
  <c r="G44" s="1"/>
  <c r="I43"/>
  <c r="J43"/>
  <c r="K43"/>
  <c r="K44" s="1"/>
  <c r="L43"/>
  <c r="M43"/>
  <c r="D44"/>
  <c r="I44"/>
  <c r="J44"/>
  <c r="L44"/>
  <c r="M44"/>
  <c r="C50"/>
  <c r="D50"/>
  <c r="D51" s="1"/>
  <c r="E50"/>
  <c r="E51" s="1"/>
  <c r="F50"/>
  <c r="G50"/>
  <c r="H50"/>
  <c r="H51" s="1"/>
  <c r="I50"/>
  <c r="I51" s="1"/>
  <c r="J50"/>
  <c r="K50"/>
  <c r="L50"/>
  <c r="M50"/>
  <c r="M51" s="1"/>
  <c r="C51"/>
  <c r="F51"/>
  <c r="G51"/>
  <c r="J51"/>
  <c r="K51"/>
  <c r="L51"/>
  <c r="B53"/>
  <c r="B55"/>
  <c r="B67"/>
  <c r="C69"/>
  <c r="C70"/>
  <c r="E73"/>
  <c r="H73"/>
  <c r="K73"/>
  <c r="N73"/>
  <c r="B73" s="1"/>
  <c r="C74"/>
  <c r="D74"/>
  <c r="D75" s="1"/>
  <c r="E74"/>
  <c r="E75" s="1"/>
  <c r="F74"/>
  <c r="G74"/>
  <c r="I74"/>
  <c r="I75" s="1"/>
  <c r="J74"/>
  <c r="L74"/>
  <c r="M74"/>
  <c r="M75" s="1"/>
  <c r="C75"/>
  <c r="F75"/>
  <c r="G75"/>
  <c r="J75"/>
  <c r="L75"/>
  <c r="C81"/>
  <c r="C82" s="1"/>
  <c r="D81"/>
  <c r="E81"/>
  <c r="F81"/>
  <c r="G81"/>
  <c r="G82" s="1"/>
  <c r="H81"/>
  <c r="I81"/>
  <c r="J81"/>
  <c r="J82" s="1"/>
  <c r="K81"/>
  <c r="K82" s="1"/>
  <c r="L81"/>
  <c r="M81"/>
  <c r="D82"/>
  <c r="E82"/>
  <c r="F82"/>
  <c r="H82"/>
  <c r="I82"/>
  <c r="L82"/>
  <c r="M82"/>
  <c r="B84"/>
  <c r="B86"/>
  <c r="C86"/>
  <c r="B16" i="21"/>
  <c r="C8"/>
  <c r="C7"/>
  <c r="C6"/>
  <c r="C12" s="1"/>
  <c r="C5"/>
  <c r="B15"/>
  <c r="B20" s="1"/>
  <c r="B19"/>
  <c r="B11"/>
  <c r="B12"/>
  <c r="D5" i="17"/>
  <c r="D6"/>
  <c r="D7"/>
  <c r="B140"/>
  <c r="C140" s="1"/>
  <c r="D140" s="1"/>
  <c r="D4"/>
  <c r="B88"/>
  <c r="C88"/>
  <c r="D88"/>
  <c r="E88" s="1"/>
  <c r="F88" s="1"/>
  <c r="C21" i="19"/>
  <c r="C22"/>
  <c r="C19"/>
  <c r="B7"/>
  <c r="D7" s="1"/>
  <c r="C31" s="1"/>
  <c r="B31"/>
  <c r="B5"/>
  <c r="D5" s="1"/>
  <c r="B24" s="1"/>
  <c r="B4"/>
  <c r="D4" s="1"/>
  <c r="B3" i="20"/>
  <c r="D9"/>
  <c r="B6"/>
  <c r="D6" s="1"/>
  <c r="F6" s="1"/>
  <c r="B25"/>
  <c r="D5"/>
  <c r="A43"/>
  <c r="B6" i="16"/>
  <c r="B11" i="20"/>
  <c r="D4"/>
  <c r="F4"/>
  <c r="F5"/>
  <c r="B7"/>
  <c r="D7"/>
  <c r="F7"/>
  <c r="D10"/>
  <c r="B75"/>
  <c r="C75"/>
  <c r="B185"/>
  <c r="D76"/>
  <c r="C203"/>
  <c r="D77"/>
  <c r="C76"/>
  <c r="C204" s="1"/>
  <c r="B203"/>
  <c r="B23"/>
  <c r="C23"/>
  <c r="D23"/>
  <c r="E23"/>
  <c r="F23"/>
  <c r="G23"/>
  <c r="H23"/>
  <c r="I23"/>
  <c r="J23"/>
  <c r="K23"/>
  <c r="L23"/>
  <c r="M23"/>
  <c r="A26"/>
  <c r="A27" s="1"/>
  <c r="A28" s="1"/>
  <c r="A29" s="1"/>
  <c r="A76"/>
  <c r="A77"/>
  <c r="A78" s="1"/>
  <c r="A79" s="1"/>
  <c r="A80" s="1"/>
  <c r="A81" s="1"/>
  <c r="A82" s="1"/>
  <c r="A83" s="1"/>
  <c r="A84" s="1"/>
  <c r="A85" s="1"/>
  <c r="A86" s="1"/>
  <c r="A87" s="1"/>
  <c r="A94"/>
  <c r="A95" s="1"/>
  <c r="A96"/>
  <c r="A97" s="1"/>
  <c r="A98" s="1"/>
  <c r="A99" s="1"/>
  <c r="A100" s="1"/>
  <c r="A101" s="1"/>
  <c r="A102" s="1"/>
  <c r="A103" s="1"/>
  <c r="A104" s="1"/>
  <c r="A105" s="1"/>
  <c r="A113"/>
  <c r="A114" s="1"/>
  <c r="A115" s="1"/>
  <c r="A116"/>
  <c r="A117"/>
  <c r="A118" s="1"/>
  <c r="A119" s="1"/>
  <c r="A120" s="1"/>
  <c r="A121" s="1"/>
  <c r="A122" s="1"/>
  <c r="A123" s="1"/>
  <c r="A124" s="1"/>
  <c r="A131"/>
  <c r="A132" s="1"/>
  <c r="A133" s="1"/>
  <c r="A134" s="1"/>
  <c r="A135" s="1"/>
  <c r="A136" s="1"/>
  <c r="A137" s="1"/>
  <c r="A138" s="1"/>
  <c r="A139" s="1"/>
  <c r="A140" s="1"/>
  <c r="A141" s="1"/>
  <c r="A142" s="1"/>
  <c r="A151"/>
  <c r="A152"/>
  <c r="A153" s="1"/>
  <c r="A154" s="1"/>
  <c r="A155" s="1"/>
  <c r="A156" s="1"/>
  <c r="A157" s="1"/>
  <c r="A158" s="1"/>
  <c r="A159" s="1"/>
  <c r="A160" s="1"/>
  <c r="A161" s="1"/>
  <c r="A162" s="1"/>
  <c r="A168"/>
  <c r="A169"/>
  <c r="A170"/>
  <c r="A171" s="1"/>
  <c r="A172" s="1"/>
  <c r="A173" s="1"/>
  <c r="A174" s="1"/>
  <c r="A175" s="1"/>
  <c r="A176" s="1"/>
  <c r="A177" s="1"/>
  <c r="A178" s="1"/>
  <c r="A179" s="1"/>
  <c r="A183"/>
  <c r="A201" s="1"/>
  <c r="A219" s="1"/>
  <c r="B183"/>
  <c r="B201" s="1"/>
  <c r="B219" s="1"/>
  <c r="C183"/>
  <c r="D183"/>
  <c r="E183"/>
  <c r="E201" s="1"/>
  <c r="E219" s="1"/>
  <c r="F183"/>
  <c r="F201" s="1"/>
  <c r="F219" s="1"/>
  <c r="G183"/>
  <c r="H183"/>
  <c r="I183"/>
  <c r="I201" s="1"/>
  <c r="I219" s="1"/>
  <c r="J183"/>
  <c r="J201" s="1"/>
  <c r="J219" s="1"/>
  <c r="K183"/>
  <c r="L183"/>
  <c r="M183"/>
  <c r="M201" s="1"/>
  <c r="M219" s="1"/>
  <c r="N183"/>
  <c r="N201" s="1"/>
  <c r="N219" s="1"/>
  <c r="A184"/>
  <c r="A185"/>
  <c r="A186"/>
  <c r="A204" s="1"/>
  <c r="A222" s="1"/>
  <c r="A187"/>
  <c r="A205" s="1"/>
  <c r="A223" s="1"/>
  <c r="C201"/>
  <c r="D201"/>
  <c r="G201"/>
  <c r="H201"/>
  <c r="K201"/>
  <c r="L201"/>
  <c r="A202"/>
  <c r="A203"/>
  <c r="C219"/>
  <c r="D219"/>
  <c r="G219"/>
  <c r="H219"/>
  <c r="K219"/>
  <c r="L219"/>
  <c r="A220"/>
  <c r="A221"/>
  <c r="A240"/>
  <c r="A241" s="1"/>
  <c r="A242" s="1"/>
  <c r="A243" s="1"/>
  <c r="A244" s="1"/>
  <c r="A245" s="1"/>
  <c r="A246" s="1"/>
  <c r="A247" s="1"/>
  <c r="A248" s="1"/>
  <c r="A249" s="1"/>
  <c r="A250" s="1"/>
  <c r="A251" s="1"/>
  <c r="A261"/>
  <c r="A262"/>
  <c r="A263" s="1"/>
  <c r="A264" s="1"/>
  <c r="A265" s="1"/>
  <c r="A266" s="1"/>
  <c r="A267" s="1"/>
  <c r="A268" s="1"/>
  <c r="A269" s="1"/>
  <c r="A270" s="1"/>
  <c r="A271" s="1"/>
  <c r="A272" s="1"/>
  <c r="A278"/>
  <c r="A279"/>
  <c r="A280"/>
  <c r="A281" s="1"/>
  <c r="A282" s="1"/>
  <c r="A283" s="1"/>
  <c r="A284" s="1"/>
  <c r="A285" s="1"/>
  <c r="A286" s="1"/>
  <c r="A287" s="1"/>
  <c r="A288" s="1"/>
  <c r="A289" s="1"/>
  <c r="A292"/>
  <c r="B292"/>
  <c r="C292"/>
  <c r="D292"/>
  <c r="E292"/>
  <c r="F292"/>
  <c r="G292"/>
  <c r="H292"/>
  <c r="I292"/>
  <c r="J292"/>
  <c r="K292"/>
  <c r="L292"/>
  <c r="M292"/>
  <c r="N292"/>
  <c r="A293"/>
  <c r="A294"/>
  <c r="A295"/>
  <c r="A296"/>
  <c r="B6" i="19"/>
  <c r="D6"/>
  <c r="B21"/>
  <c r="C38"/>
  <c r="C32"/>
  <c r="G6"/>
  <c r="D8"/>
  <c r="D9"/>
  <c r="D10"/>
  <c r="A22"/>
  <c r="N22"/>
  <c r="P22"/>
  <c r="S22"/>
  <c r="U22" s="1"/>
  <c r="H23"/>
  <c r="B25"/>
  <c r="A32"/>
  <c r="A39"/>
  <c r="D9" i="17"/>
  <c r="B77"/>
  <c r="G93"/>
  <c r="D10"/>
  <c r="C77"/>
  <c r="G92"/>
  <c r="D77"/>
  <c r="G91"/>
  <c r="G90"/>
  <c r="G89"/>
  <c r="G88"/>
  <c r="F92"/>
  <c r="D11"/>
  <c r="F91"/>
  <c r="F90"/>
  <c r="F89"/>
  <c r="E91"/>
  <c r="E90"/>
  <c r="E89"/>
  <c r="D90"/>
  <c r="D89"/>
  <c r="C89"/>
  <c r="D8"/>
  <c r="B131"/>
  <c r="C131" s="1"/>
  <c r="D131" s="1"/>
  <c r="H90"/>
  <c r="B32"/>
  <c r="C32"/>
  <c r="D3"/>
  <c r="B43" s="1"/>
  <c r="B54" s="1"/>
  <c r="B21"/>
  <c r="C21"/>
  <c r="D21"/>
  <c r="E21"/>
  <c r="E22"/>
  <c r="F23" s="1"/>
  <c r="D22"/>
  <c r="E23" s="1"/>
  <c r="F24" s="1"/>
  <c r="G25" s="1"/>
  <c r="H26" s="1"/>
  <c r="I27" s="1"/>
  <c r="C33"/>
  <c r="C44" s="1"/>
  <c r="C66" s="1"/>
  <c r="C22"/>
  <c r="D23" s="1"/>
  <c r="E24" s="1"/>
  <c r="F25" s="1"/>
  <c r="F142"/>
  <c r="D141"/>
  <c r="G26"/>
  <c r="H27" s="1"/>
  <c r="I28" s="1"/>
  <c r="G24"/>
  <c r="H25" s="1"/>
  <c r="I26" s="1"/>
  <c r="H8"/>
  <c r="L8" s="1"/>
  <c r="I8"/>
  <c r="J8"/>
  <c r="M8" s="1"/>
  <c r="K8"/>
  <c r="D12"/>
  <c r="D13"/>
  <c r="E170"/>
  <c r="E171"/>
  <c r="E172"/>
  <c r="E173"/>
  <c r="B170"/>
  <c r="C171"/>
  <c r="C170"/>
  <c r="D172"/>
  <c r="D171"/>
  <c r="D170"/>
  <c r="C19"/>
  <c r="A141"/>
  <c r="A142" s="1"/>
  <c r="A143" s="1"/>
  <c r="A144" s="1"/>
  <c r="A145" s="1"/>
  <c r="A132"/>
  <c r="A133" s="1"/>
  <c r="A134"/>
  <c r="A135" s="1"/>
  <c r="A136" s="1"/>
  <c r="G129"/>
  <c r="F129"/>
  <c r="E129"/>
  <c r="C129"/>
  <c r="A124"/>
  <c r="A125"/>
  <c r="A126"/>
  <c r="A115"/>
  <c r="A116" s="1"/>
  <c r="A117" s="1"/>
  <c r="A118" s="1"/>
  <c r="A102"/>
  <c r="A103"/>
  <c r="A104"/>
  <c r="A105" s="1"/>
  <c r="A106" s="1"/>
  <c r="A89"/>
  <c r="A90"/>
  <c r="A91" s="1"/>
  <c r="A92" s="1"/>
  <c r="A93" s="1"/>
  <c r="A94" s="1"/>
  <c r="A95" s="1"/>
  <c r="I75"/>
  <c r="H75"/>
  <c r="G75"/>
  <c r="E75"/>
  <c r="D75"/>
  <c r="C75"/>
  <c r="I19"/>
  <c r="H19"/>
  <c r="G19"/>
  <c r="F19"/>
  <c r="E19"/>
  <c r="D19"/>
  <c r="A78"/>
  <c r="A79"/>
  <c r="A80"/>
  <c r="A81"/>
  <c r="A82" s="1"/>
  <c r="A83" s="1"/>
  <c r="A84" s="1"/>
  <c r="A66"/>
  <c r="A67" s="1"/>
  <c r="A68" s="1"/>
  <c r="A69" s="1"/>
  <c r="A70" s="1"/>
  <c r="A71" s="1"/>
  <c r="A72" s="1"/>
  <c r="A55"/>
  <c r="A56"/>
  <c r="A57" s="1"/>
  <c r="A58" s="1"/>
  <c r="A59" s="1"/>
  <c r="A60" s="1"/>
  <c r="A61" s="1"/>
  <c r="A44"/>
  <c r="A45"/>
  <c r="A46" s="1"/>
  <c r="A47" s="1"/>
  <c r="A48" s="1"/>
  <c r="A49" s="1"/>
  <c r="A50" s="1"/>
  <c r="A33"/>
  <c r="A34"/>
  <c r="A35"/>
  <c r="A36"/>
  <c r="A37" s="1"/>
  <c r="A38" s="1"/>
  <c r="A39"/>
  <c r="A22"/>
  <c r="A23" s="1"/>
  <c r="A24" s="1"/>
  <c r="A25" s="1"/>
  <c r="A26" s="1"/>
  <c r="A27" s="1"/>
  <c r="A28" s="1"/>
  <c r="F143"/>
  <c r="F144"/>
  <c r="D142"/>
  <c r="B10" i="23" l="1"/>
  <c r="B4"/>
  <c r="EF12" i="22"/>
  <c r="EE14"/>
  <c r="B11" i="16"/>
  <c r="C21" s="1"/>
  <c r="B38" i="19"/>
  <c r="E131" i="17"/>
  <c r="E132"/>
  <c r="H89"/>
  <c r="H92"/>
  <c r="E77"/>
  <c r="D78"/>
  <c r="H43" i="22"/>
  <c r="H44" s="1"/>
  <c r="F22" i="17"/>
  <c r="G23" s="1"/>
  <c r="H24" s="1"/>
  <c r="I25" s="1"/>
  <c r="F21"/>
  <c r="G5" i="19"/>
  <c r="G7" s="1"/>
  <c r="G4"/>
  <c r="A44" i="20"/>
  <c r="D12" i="19"/>
  <c r="D25"/>
  <c r="D13"/>
  <c r="E25" i="22"/>
  <c r="B19"/>
  <c r="K13"/>
  <c r="K9"/>
  <c r="K10" s="1"/>
  <c r="N30"/>
  <c r="N31" s="1"/>
  <c r="F1"/>
  <c r="B7"/>
  <c r="B9" s="1"/>
  <c r="B10" s="1"/>
  <c r="H9"/>
  <c r="H10" s="1"/>
  <c r="N17"/>
  <c r="D132" i="17"/>
  <c r="H91"/>
  <c r="B65"/>
  <c r="H93"/>
  <c r="C55"/>
  <c r="C43"/>
  <c r="D32"/>
  <c r="D33"/>
  <c r="D44" s="1"/>
  <c r="F94" i="22"/>
  <c r="J94"/>
  <c r="C94"/>
  <c r="G94"/>
  <c r="K94"/>
  <c r="I94"/>
  <c r="M94"/>
  <c r="D94"/>
  <c r="L94"/>
  <c r="E141" i="17"/>
  <c r="E143"/>
  <c r="E140"/>
  <c r="E142"/>
  <c r="D53" i="22"/>
  <c r="E53" s="1"/>
  <c r="F53" s="1"/>
  <c r="G53" s="1"/>
  <c r="H53" s="1"/>
  <c r="I53" s="1"/>
  <c r="J53" s="1"/>
  <c r="K53" s="1"/>
  <c r="L53" s="1"/>
  <c r="M53" s="1"/>
  <c r="N53" s="1"/>
  <c r="C39" i="19"/>
  <c r="M26" s="1"/>
  <c r="N24"/>
  <c r="A30" i="20"/>
  <c r="A189"/>
  <c r="C26"/>
  <c r="D27"/>
  <c r="C25"/>
  <c r="D26" s="1"/>
  <c r="E28"/>
  <c r="D25"/>
  <c r="D12"/>
  <c r="D13" s="1"/>
  <c r="H88" i="17"/>
  <c r="E78"/>
  <c r="O8"/>
  <c r="H94"/>
  <c r="G7"/>
  <c r="C141"/>
  <c r="D34"/>
  <c r="D45" s="1"/>
  <c r="C132"/>
  <c r="C78"/>
  <c r="E94" i="22"/>
  <c r="B88"/>
  <c r="C88" s="1"/>
  <c r="B87"/>
  <c r="C87" s="1"/>
  <c r="B42"/>
  <c r="E43"/>
  <c r="E44" s="1"/>
  <c r="N49"/>
  <c r="B49" s="1"/>
  <c r="B57" s="1"/>
  <c r="G4"/>
  <c r="I16"/>
  <c r="J16" s="1"/>
  <c r="K16" s="1"/>
  <c r="L16" s="1"/>
  <c r="M16" s="1"/>
  <c r="N16" s="1"/>
  <c r="O12"/>
  <c r="I12"/>
  <c r="C15" i="21"/>
  <c r="C16" s="1"/>
  <c r="B17"/>
  <c r="B13"/>
  <c r="N41" i="22"/>
  <c r="N47" s="1"/>
  <c r="C55"/>
  <c r="D55" s="1"/>
  <c r="E55" s="1"/>
  <c r="F55" s="1"/>
  <c r="G55" s="1"/>
  <c r="H55" s="1"/>
  <c r="I55" s="1"/>
  <c r="J55" s="1"/>
  <c r="K55" s="1"/>
  <c r="L55" s="1"/>
  <c r="M55" s="1"/>
  <c r="N55" s="1"/>
  <c r="C84"/>
  <c r="D84" s="1"/>
  <c r="E84" s="1"/>
  <c r="F84" s="1"/>
  <c r="G84" s="1"/>
  <c r="H84" s="1"/>
  <c r="I84" s="1"/>
  <c r="J84" s="1"/>
  <c r="K84" s="1"/>
  <c r="L84" s="1"/>
  <c r="M84" s="1"/>
  <c r="N84" s="1"/>
  <c r="I46"/>
  <c r="J46" s="1"/>
  <c r="K46" s="1"/>
  <c r="L46" s="1"/>
  <c r="M46" s="1"/>
  <c r="N46" s="1"/>
  <c r="B68"/>
  <c r="D204" i="20"/>
  <c r="D205"/>
  <c r="C19" i="21"/>
  <c r="C20"/>
  <c r="C11"/>
  <c r="A188" i="20"/>
  <c r="B42" i="19"/>
  <c r="D86" i="22"/>
  <c r="E86" s="1"/>
  <c r="F86" s="1"/>
  <c r="G86" s="1"/>
  <c r="H86" s="1"/>
  <c r="I86" s="1"/>
  <c r="J86" s="1"/>
  <c r="K86" s="1"/>
  <c r="L86" s="1"/>
  <c r="M86" s="1"/>
  <c r="N86" s="1"/>
  <c r="B56"/>
  <c r="C56" s="1"/>
  <c r="N32"/>
  <c r="F2"/>
  <c r="D75" i="20"/>
  <c r="E75" s="1"/>
  <c r="D11"/>
  <c r="E43" s="1"/>
  <c r="D8"/>
  <c r="F8" s="1"/>
  <c r="D129" i="17"/>
  <c r="F75"/>
  <c r="K74" i="22"/>
  <c r="K75" s="1"/>
  <c r="N80"/>
  <c r="B80" s="1"/>
  <c r="B8"/>
  <c r="EG12" l="1"/>
  <c r="EF14"/>
  <c r="B13" i="16"/>
  <c r="C30" s="1"/>
  <c r="B12"/>
  <c r="B14" s="1"/>
  <c r="B15" s="1"/>
  <c r="B18"/>
  <c r="D186" i="20"/>
  <c r="E27"/>
  <c r="E203"/>
  <c r="F75"/>
  <c r="F76"/>
  <c r="F204" s="1"/>
  <c r="F79"/>
  <c r="F207" s="1"/>
  <c r="F78"/>
  <c r="F206" s="1"/>
  <c r="F77"/>
  <c r="F205" s="1"/>
  <c r="D185"/>
  <c r="E188"/>
  <c r="G3" i="22"/>
  <c r="N44" i="20"/>
  <c r="A45"/>
  <c r="E44"/>
  <c r="E59" s="1"/>
  <c r="I44"/>
  <c r="M44"/>
  <c r="D44"/>
  <c r="D59" s="1"/>
  <c r="F44"/>
  <c r="H44"/>
  <c r="J44"/>
  <c r="L44"/>
  <c r="G44"/>
  <c r="K44"/>
  <c r="G21" i="17"/>
  <c r="G22"/>
  <c r="H23" s="1"/>
  <c r="I24" s="1"/>
  <c r="D79"/>
  <c r="F79"/>
  <c r="C65"/>
  <c r="C54"/>
  <c r="B11" i="22"/>
  <c r="C11" s="1"/>
  <c r="B14"/>
  <c r="A10"/>
  <c r="B44"/>
  <c r="E79" i="17"/>
  <c r="H5" i="19"/>
  <c r="H6"/>
  <c r="H4"/>
  <c r="G10" s="1"/>
  <c r="D14"/>
  <c r="J5" i="17"/>
  <c r="G10"/>
  <c r="C13" i="21"/>
  <c r="C17"/>
  <c r="C186" i="20"/>
  <c r="A207"/>
  <c r="A225" s="1"/>
  <c r="A298"/>
  <c r="E32" i="17"/>
  <c r="E33"/>
  <c r="E44" s="1"/>
  <c r="E34"/>
  <c r="E45" s="1"/>
  <c r="D43"/>
  <c r="E35"/>
  <c r="E46" s="1"/>
  <c r="F131"/>
  <c r="F132"/>
  <c r="G133" s="1"/>
  <c r="E26" i="20"/>
  <c r="F43"/>
  <c r="N48" i="22"/>
  <c r="F29" i="20"/>
  <c r="H43"/>
  <c r="C43"/>
  <c r="C58" s="1"/>
  <c r="B41" i="22"/>
  <c r="B43" s="1"/>
  <c r="B54"/>
  <c r="N18"/>
  <c r="J43" i="20"/>
  <c r="M43"/>
  <c r="N42"/>
  <c r="C42"/>
  <c r="C57" s="1"/>
  <c r="C20" s="1"/>
  <c r="G42"/>
  <c r="K42"/>
  <c r="H42"/>
  <c r="B42"/>
  <c r="B57" s="1"/>
  <c r="D42"/>
  <c r="D57" s="1"/>
  <c r="F42"/>
  <c r="J42"/>
  <c r="L42"/>
  <c r="E42"/>
  <c r="M42"/>
  <c r="I42"/>
  <c r="A206"/>
  <c r="A224" s="1"/>
  <c r="A297"/>
  <c r="B58" i="22"/>
  <c r="C58" s="1"/>
  <c r="B65"/>
  <c r="D133" i="17"/>
  <c r="I89"/>
  <c r="I91"/>
  <c r="I95"/>
  <c r="I88"/>
  <c r="I92"/>
  <c r="I94"/>
  <c r="I90"/>
  <c r="I93"/>
  <c r="J25" i="19"/>
  <c r="S24"/>
  <c r="D203" i="20"/>
  <c r="E76"/>
  <c r="E204" s="1"/>
  <c r="E77"/>
  <c r="E205" s="1"/>
  <c r="E78"/>
  <c r="E206" s="1"/>
  <c r="H72" i="22"/>
  <c r="N72"/>
  <c r="I77"/>
  <c r="J77" s="1"/>
  <c r="K77" s="1"/>
  <c r="L77" s="1"/>
  <c r="M77" s="1"/>
  <c r="N77" s="1"/>
  <c r="N57"/>
  <c r="N43"/>
  <c r="N44" s="1"/>
  <c r="J12"/>
  <c r="I14"/>
  <c r="D187" i="20"/>
  <c r="A31"/>
  <c r="A190"/>
  <c r="L5" i="17"/>
  <c r="G11"/>
  <c r="O14" i="22"/>
  <c r="P12"/>
  <c r="D67" i="17"/>
  <c r="D56"/>
  <c r="C185" i="20"/>
  <c r="F140" i="17"/>
  <c r="F141"/>
  <c r="D55"/>
  <c r="D66"/>
  <c r="E133"/>
  <c r="F78"/>
  <c r="F77"/>
  <c r="F133"/>
  <c r="G134" s="1"/>
  <c r="I43" i="20"/>
  <c r="K43"/>
  <c r="F56" i="22"/>
  <c r="B85"/>
  <c r="E25" i="20"/>
  <c r="N33" i="22"/>
  <c r="L43" i="20"/>
  <c r="D43"/>
  <c r="D58" s="1"/>
  <c r="G43"/>
  <c r="N43"/>
  <c r="EG14" i="22" l="1"/>
  <c r="EH12"/>
  <c r="B16" i="16"/>
  <c r="B64" i="22"/>
  <c r="E55" i="17"/>
  <c r="E66"/>
  <c r="B45" i="22"/>
  <c r="B75"/>
  <c r="Q12"/>
  <c r="P14"/>
  <c r="A299" i="20"/>
  <c r="A208"/>
  <c r="A226" s="1"/>
  <c r="Y13"/>
  <c r="B48" i="22"/>
  <c r="B50" s="1"/>
  <c r="N50"/>
  <c r="N51" s="1"/>
  <c r="G132" i="17"/>
  <c r="G131"/>
  <c r="E56"/>
  <c r="E67"/>
  <c r="G80"/>
  <c r="H21"/>
  <c r="H22"/>
  <c r="I23" s="1"/>
  <c r="Y11" i="20"/>
  <c r="E185"/>
  <c r="F25"/>
  <c r="F26"/>
  <c r="G77" i="17"/>
  <c r="G78"/>
  <c r="F134"/>
  <c r="G135" s="1"/>
  <c r="G143"/>
  <c r="G140"/>
  <c r="G145"/>
  <c r="G141"/>
  <c r="G142"/>
  <c r="G144"/>
  <c r="B72" i="22"/>
  <c r="B74" s="1"/>
  <c r="N78"/>
  <c r="H94"/>
  <c r="N79"/>
  <c r="H74"/>
  <c r="H75" s="1"/>
  <c r="E134" i="17"/>
  <c r="D65"/>
  <c r="D54"/>
  <c r="F80"/>
  <c r="N45" i="20"/>
  <c r="E45"/>
  <c r="E60" s="1"/>
  <c r="G45"/>
  <c r="I45"/>
  <c r="K45"/>
  <c r="M45"/>
  <c r="A46"/>
  <c r="F45"/>
  <c r="F60" s="1"/>
  <c r="H45"/>
  <c r="J45"/>
  <c r="L45"/>
  <c r="F203"/>
  <c r="G80"/>
  <c r="G208" s="1"/>
  <c r="G76"/>
  <c r="G204" s="1"/>
  <c r="G77"/>
  <c r="G205" s="1"/>
  <c r="G75"/>
  <c r="G78"/>
  <c r="G206" s="1"/>
  <c r="G79"/>
  <c r="G207" s="1"/>
  <c r="E187"/>
  <c r="F28"/>
  <c r="F58"/>
  <c r="E57"/>
  <c r="D20"/>
  <c r="A32"/>
  <c r="A191"/>
  <c r="G79" i="17"/>
  <c r="B18" i="22"/>
  <c r="N20"/>
  <c r="B25"/>
  <c r="B24"/>
  <c r="C25"/>
  <c r="E24"/>
  <c r="B92"/>
  <c r="D24"/>
  <c r="B62"/>
  <c r="Y12" i="20"/>
  <c r="K12" i="22"/>
  <c r="J14"/>
  <c r="N74"/>
  <c r="N75" s="1"/>
  <c r="N94"/>
  <c r="F189" i="20"/>
  <c r="G30"/>
  <c r="E186"/>
  <c r="F27"/>
  <c r="E57" i="17"/>
  <c r="E68"/>
  <c r="F33"/>
  <c r="F44" s="1"/>
  <c r="E43"/>
  <c r="F36"/>
  <c r="F47" s="1"/>
  <c r="F34"/>
  <c r="F45" s="1"/>
  <c r="F35"/>
  <c r="F46" s="1"/>
  <c r="F32"/>
  <c r="G12"/>
  <c r="G4"/>
  <c r="H7" i="19"/>
  <c r="G9" s="1"/>
  <c r="G11"/>
  <c r="E80" i="17"/>
  <c r="F57" i="20"/>
  <c r="E58"/>
  <c r="B17" i="16" l="1"/>
  <c r="EI12" i="22"/>
  <c r="EH14"/>
  <c r="F68" i="17"/>
  <c r="F57"/>
  <c r="L12" i="22"/>
  <c r="K14"/>
  <c r="N21"/>
  <c r="D25"/>
  <c r="H76" i="20"/>
  <c r="H204" s="1"/>
  <c r="H77"/>
  <c r="H205" s="1"/>
  <c r="H78"/>
  <c r="H206" s="1"/>
  <c r="H79"/>
  <c r="H207" s="1"/>
  <c r="H80"/>
  <c r="H208" s="1"/>
  <c r="H81"/>
  <c r="H209" s="1"/>
  <c r="G203"/>
  <c r="H75"/>
  <c r="E65" i="17"/>
  <c r="E54"/>
  <c r="F188" i="20"/>
  <c r="G29"/>
  <c r="Y10"/>
  <c r="B94" i="22"/>
  <c r="B76"/>
  <c r="F81" i="17"/>
  <c r="F58"/>
  <c r="F69"/>
  <c r="G190" i="20"/>
  <c r="H31"/>
  <c r="G103" i="17"/>
  <c r="H80"/>
  <c r="I81" s="1"/>
  <c r="G81"/>
  <c r="F135"/>
  <c r="G136" s="1"/>
  <c r="G102"/>
  <c r="H79"/>
  <c r="I80" s="1"/>
  <c r="F185" i="20"/>
  <c r="G25"/>
  <c r="G26"/>
  <c r="G104" i="17"/>
  <c r="H81"/>
  <c r="I82" s="1"/>
  <c r="R12" i="22"/>
  <c r="Q14"/>
  <c r="E20" i="20"/>
  <c r="F66" i="17"/>
  <c r="F55"/>
  <c r="A300" i="20"/>
  <c r="A209"/>
  <c r="A227" s="1"/>
  <c r="H78" i="17"/>
  <c r="I79" s="1"/>
  <c r="H77"/>
  <c r="G101"/>
  <c r="I22"/>
  <c r="I21"/>
  <c r="G32"/>
  <c r="G37"/>
  <c r="G48" s="1"/>
  <c r="G33"/>
  <c r="G44" s="1"/>
  <c r="G36"/>
  <c r="G47" s="1"/>
  <c r="G34"/>
  <c r="G45" s="1"/>
  <c r="F43"/>
  <c r="G35"/>
  <c r="G46" s="1"/>
  <c r="F187" i="20"/>
  <c r="G28"/>
  <c r="F56" i="17"/>
  <c r="E179" s="1"/>
  <c r="F67"/>
  <c r="B20" i="22"/>
  <c r="B23"/>
  <c r="C26"/>
  <c r="B91"/>
  <c r="B61"/>
  <c r="A192" i="20"/>
  <c r="A33"/>
  <c r="A47"/>
  <c r="G46"/>
  <c r="K46"/>
  <c r="F46"/>
  <c r="F61" s="1"/>
  <c r="J46"/>
  <c r="L46"/>
  <c r="H46"/>
  <c r="I46"/>
  <c r="N46"/>
  <c r="M46"/>
  <c r="B79" i="22"/>
  <c r="B81" s="1"/>
  <c r="N81"/>
  <c r="N82" s="1"/>
  <c r="F186" i="20"/>
  <c r="G27"/>
  <c r="F59"/>
  <c r="F20" s="1"/>
  <c r="G60"/>
  <c r="B12" i="23" l="1"/>
  <c r="B13" s="1"/>
  <c r="B16" s="1"/>
  <c r="B11"/>
  <c r="EJ12" i="22"/>
  <c r="EI14"/>
  <c r="G55" i="17"/>
  <c r="G66"/>
  <c r="H82"/>
  <c r="I83" s="1"/>
  <c r="G105"/>
  <c r="F117" s="1"/>
  <c r="H191" i="20"/>
  <c r="I32"/>
  <c r="Y9"/>
  <c r="A48"/>
  <c r="G47"/>
  <c r="G62" s="1"/>
  <c r="I47"/>
  <c r="K47"/>
  <c r="M47"/>
  <c r="N47"/>
  <c r="H47"/>
  <c r="J47"/>
  <c r="L47"/>
  <c r="B21" i="22"/>
  <c r="F4"/>
  <c r="F3"/>
  <c r="B93"/>
  <c r="B63"/>
  <c r="G67" i="17"/>
  <c r="G56"/>
  <c r="H36"/>
  <c r="H47" s="1"/>
  <c r="H32"/>
  <c r="H35"/>
  <c r="H46" s="1"/>
  <c r="G43"/>
  <c r="H37"/>
  <c r="H48" s="1"/>
  <c r="H38"/>
  <c r="H49" s="1"/>
  <c r="H34"/>
  <c r="H45" s="1"/>
  <c r="H33"/>
  <c r="H44" s="1"/>
  <c r="I77"/>
  <c r="I78"/>
  <c r="G61" i="20"/>
  <c r="E178" i="17"/>
  <c r="A34" i="20"/>
  <c r="A193"/>
  <c r="G57" i="17"/>
  <c r="G68"/>
  <c r="G186" i="20"/>
  <c r="H27"/>
  <c r="G58"/>
  <c r="B95" i="22"/>
  <c r="C95" s="1"/>
  <c r="B96"/>
  <c r="H203" i="20"/>
  <c r="I76"/>
  <c r="I204" s="1"/>
  <c r="I77"/>
  <c r="I205" s="1"/>
  <c r="I78"/>
  <c r="I206" s="1"/>
  <c r="I79"/>
  <c r="I207" s="1"/>
  <c r="I80"/>
  <c r="I208" s="1"/>
  <c r="I81"/>
  <c r="I209" s="1"/>
  <c r="I82"/>
  <c r="I210" s="1"/>
  <c r="I75"/>
  <c r="L14" i="22"/>
  <c r="M12"/>
  <c r="G69" i="17"/>
  <c r="G58"/>
  <c r="F116"/>
  <c r="F103"/>
  <c r="G189" i="20"/>
  <c r="H30"/>
  <c r="G187"/>
  <c r="H28"/>
  <c r="G59"/>
  <c r="A210"/>
  <c r="A228" s="1"/>
  <c r="A301"/>
  <c r="G188"/>
  <c r="H29"/>
  <c r="F54" i="17"/>
  <c r="E177" s="1"/>
  <c r="F65"/>
  <c r="G59"/>
  <c r="G70"/>
  <c r="F114"/>
  <c r="E123" s="1"/>
  <c r="E154" s="1"/>
  <c r="F101"/>
  <c r="S12" i="22"/>
  <c r="R14"/>
  <c r="G185" i="20"/>
  <c r="H26"/>
  <c r="H25"/>
  <c r="G57"/>
  <c r="G20" s="1"/>
  <c r="F115" i="17"/>
  <c r="F102"/>
  <c r="G82"/>
  <c r="H61" i="20"/>
  <c r="E180" i="17"/>
  <c r="EK12" i="22" l="1"/>
  <c r="EJ14"/>
  <c r="H190" i="20"/>
  <c r="I31"/>
  <c r="H56" i="17"/>
  <c r="H67"/>
  <c r="E114"/>
  <c r="E101"/>
  <c r="E116"/>
  <c r="N12" i="22"/>
  <c r="M14"/>
  <c r="E115" i="17"/>
  <c r="D124" s="1"/>
  <c r="D155" s="1"/>
  <c r="E102"/>
  <c r="H186" i="20"/>
  <c r="I27"/>
  <c r="H58"/>
  <c r="T12" i="22"/>
  <c r="S14"/>
  <c r="A211" i="20"/>
  <c r="A229" s="1"/>
  <c r="A302"/>
  <c r="H59" i="17"/>
  <c r="H70"/>
  <c r="H69"/>
  <c r="H58"/>
  <c r="N48" i="20"/>
  <c r="A49"/>
  <c r="I48"/>
  <c r="I63" s="1"/>
  <c r="M48"/>
  <c r="H48"/>
  <c r="H63" s="1"/>
  <c r="J48"/>
  <c r="L48"/>
  <c r="K48"/>
  <c r="I62"/>
  <c r="F104" i="17"/>
  <c r="H83"/>
  <c r="I84" s="1"/>
  <c r="G106"/>
  <c r="E162"/>
  <c r="H57"/>
  <c r="H68"/>
  <c r="H188" i="20"/>
  <c r="I29"/>
  <c r="H60"/>
  <c r="A35"/>
  <c r="A194"/>
  <c r="H55" i="17"/>
  <c r="H66"/>
  <c r="G65"/>
  <c r="G54"/>
  <c r="H185" i="20"/>
  <c r="I26"/>
  <c r="I25"/>
  <c r="H57"/>
  <c r="H189"/>
  <c r="I30"/>
  <c r="J75"/>
  <c r="I203"/>
  <c r="J77"/>
  <c r="J205" s="1"/>
  <c r="J78"/>
  <c r="J206" s="1"/>
  <c r="J81"/>
  <c r="J209" s="1"/>
  <c r="J82"/>
  <c r="J210" s="1"/>
  <c r="J83"/>
  <c r="J211" s="1"/>
  <c r="J79"/>
  <c r="J207" s="1"/>
  <c r="J80"/>
  <c r="J208" s="1"/>
  <c r="J76"/>
  <c r="J204" s="1"/>
  <c r="H187"/>
  <c r="I28"/>
  <c r="H59"/>
  <c r="H60" i="17"/>
  <c r="H71"/>
  <c r="I37"/>
  <c r="I33"/>
  <c r="I36"/>
  <c r="I32"/>
  <c r="H43"/>
  <c r="I38"/>
  <c r="I34"/>
  <c r="I35"/>
  <c r="I39"/>
  <c r="B51" i="22"/>
  <c r="B22"/>
  <c r="Y8" i="20"/>
  <c r="I192"/>
  <c r="J33"/>
  <c r="E125" i="17"/>
  <c r="E156" s="1"/>
  <c r="H62" i="20"/>
  <c r="F118" i="17"/>
  <c r="E126" s="1"/>
  <c r="E157" s="1"/>
  <c r="E165" s="1"/>
  <c r="E124"/>
  <c r="E155" s="1"/>
  <c r="F105"/>
  <c r="EK14" i="22" l="1"/>
  <c r="EL12"/>
  <c r="A36" i="20"/>
  <c r="A195"/>
  <c r="D163" i="17"/>
  <c r="J193" i="20"/>
  <c r="K34"/>
  <c r="I190"/>
  <c r="J31"/>
  <c r="I185"/>
  <c r="J25"/>
  <c r="J26"/>
  <c r="I57"/>
  <c r="E117" i="17"/>
  <c r="E104"/>
  <c r="D179"/>
  <c r="E164"/>
  <c r="H65"/>
  <c r="H54"/>
  <c r="I188" i="20"/>
  <c r="J29"/>
  <c r="I60"/>
  <c r="K75"/>
  <c r="K78"/>
  <c r="K206" s="1"/>
  <c r="K83"/>
  <c r="K211" s="1"/>
  <c r="K76"/>
  <c r="K204" s="1"/>
  <c r="K77"/>
  <c r="K205" s="1"/>
  <c r="K80"/>
  <c r="K208" s="1"/>
  <c r="K81"/>
  <c r="K209" s="1"/>
  <c r="K79"/>
  <c r="K207" s="1"/>
  <c r="K82"/>
  <c r="K210" s="1"/>
  <c r="J203"/>
  <c r="K84"/>
  <c r="K212" s="1"/>
  <c r="I189"/>
  <c r="J30"/>
  <c r="I61"/>
  <c r="Y7"/>
  <c r="U12" i="22"/>
  <c r="T14"/>
  <c r="N14"/>
  <c r="B12"/>
  <c r="D125" i="17"/>
  <c r="D156" s="1"/>
  <c r="D164" s="1"/>
  <c r="E103"/>
  <c r="H20" i="20"/>
  <c r="D123" i="17"/>
  <c r="D154" s="1"/>
  <c r="B26" i="22"/>
  <c r="C22"/>
  <c r="I186" i="20"/>
  <c r="J27"/>
  <c r="I58"/>
  <c r="I187"/>
  <c r="J28"/>
  <c r="I59"/>
  <c r="D178" i="17"/>
  <c r="E163"/>
  <c r="A212" i="20"/>
  <c r="A230" s="1"/>
  <c r="A303"/>
  <c r="B52" i="22"/>
  <c r="C52" s="1"/>
  <c r="B82"/>
  <c r="B83" s="1"/>
  <c r="C83" s="1"/>
  <c r="A50" i="20"/>
  <c r="I49"/>
  <c r="I64" s="1"/>
  <c r="K49"/>
  <c r="M49"/>
  <c r="J49"/>
  <c r="L49"/>
  <c r="N49"/>
  <c r="D114" i="17"/>
  <c r="D101"/>
  <c r="I191" i="20"/>
  <c r="J32"/>
  <c r="D177" i="17"/>
  <c r="EM12" i="22" l="1"/>
  <c r="EL14"/>
  <c r="V12"/>
  <c r="U14"/>
  <c r="J185" i="20"/>
  <c r="K26"/>
  <c r="K25"/>
  <c r="J57"/>
  <c r="A37"/>
  <c r="A197" s="1"/>
  <c r="A196"/>
  <c r="Y6"/>
  <c r="D116" i="17"/>
  <c r="D103"/>
  <c r="J189" i="20"/>
  <c r="K30"/>
  <c r="J61"/>
  <c r="B90" i="22"/>
  <c r="F83"/>
  <c r="C177" i="17"/>
  <c r="D162"/>
  <c r="K194" i="20"/>
  <c r="L35"/>
  <c r="D102" i="17"/>
  <c r="C114" s="1"/>
  <c r="I20" i="20"/>
  <c r="C178" i="17"/>
  <c r="F87" i="22"/>
  <c r="F58"/>
  <c r="J190" i="20"/>
  <c r="K31"/>
  <c r="J62"/>
  <c r="F52" i="22"/>
  <c r="B59" s="1"/>
  <c r="B60"/>
  <c r="J186" i="20"/>
  <c r="K27"/>
  <c r="J58"/>
  <c r="J191"/>
  <c r="K32"/>
  <c r="K64" s="1"/>
  <c r="A304"/>
  <c r="A213"/>
  <c r="A231" s="1"/>
  <c r="J192"/>
  <c r="K33"/>
  <c r="C101" i="17"/>
  <c r="N50" i="20"/>
  <c r="A51"/>
  <c r="K50"/>
  <c r="L50"/>
  <c r="J50"/>
  <c r="J65" s="1"/>
  <c r="M50"/>
  <c r="J188"/>
  <c r="K29"/>
  <c r="J60"/>
  <c r="J187"/>
  <c r="K28"/>
  <c r="J59"/>
  <c r="L76"/>
  <c r="L204" s="1"/>
  <c r="L77"/>
  <c r="L205" s="1"/>
  <c r="L78"/>
  <c r="L206" s="1"/>
  <c r="L79"/>
  <c r="L207" s="1"/>
  <c r="L80"/>
  <c r="L208" s="1"/>
  <c r="L81"/>
  <c r="L209" s="1"/>
  <c r="L82"/>
  <c r="L210" s="1"/>
  <c r="L83"/>
  <c r="L211" s="1"/>
  <c r="L84"/>
  <c r="L212" s="1"/>
  <c r="L85"/>
  <c r="L213" s="1"/>
  <c r="K203"/>
  <c r="L75"/>
  <c r="D115" i="17"/>
  <c r="C124" s="1"/>
  <c r="C155" s="1"/>
  <c r="C163" s="1"/>
  <c r="J63" i="20"/>
  <c r="J64"/>
  <c r="EN12" i="22" l="1"/>
  <c r="EM14"/>
  <c r="B123" i="17"/>
  <c r="B154" s="1"/>
  <c r="K188" i="20"/>
  <c r="L29"/>
  <c r="K60"/>
  <c r="K187"/>
  <c r="L28"/>
  <c r="K59"/>
  <c r="A214"/>
  <c r="A232" s="1"/>
  <c r="A305"/>
  <c r="K186"/>
  <c r="L27"/>
  <c r="K58"/>
  <c r="L203"/>
  <c r="M76"/>
  <c r="M204" s="1"/>
  <c r="M77"/>
  <c r="M205" s="1"/>
  <c r="M78"/>
  <c r="M206" s="1"/>
  <c r="M79"/>
  <c r="M207" s="1"/>
  <c r="M80"/>
  <c r="M208" s="1"/>
  <c r="M81"/>
  <c r="M209" s="1"/>
  <c r="M82"/>
  <c r="M210" s="1"/>
  <c r="M83"/>
  <c r="M211" s="1"/>
  <c r="M84"/>
  <c r="M212" s="1"/>
  <c r="M85"/>
  <c r="M213" s="1"/>
  <c r="M86"/>
  <c r="M214" s="1"/>
  <c r="M75"/>
  <c r="N51"/>
  <c r="K51"/>
  <c r="K66" s="1"/>
  <c r="M51"/>
  <c r="L51"/>
  <c r="A52"/>
  <c r="K193"/>
  <c r="L34"/>
  <c r="K185"/>
  <c r="L26"/>
  <c r="L25"/>
  <c r="K57"/>
  <c r="K20" s="1"/>
  <c r="K191"/>
  <c r="L32"/>
  <c r="K63"/>
  <c r="K65"/>
  <c r="B89" i="22"/>
  <c r="J20" i="20"/>
  <c r="K189"/>
  <c r="L30"/>
  <c r="K61"/>
  <c r="Y5"/>
  <c r="K192"/>
  <c r="L33"/>
  <c r="W12" i="22"/>
  <c r="V14"/>
  <c r="B114" i="17"/>
  <c r="B101"/>
  <c r="C115"/>
  <c r="C102"/>
  <c r="L195" i="20"/>
  <c r="M36"/>
  <c r="K190"/>
  <c r="L31"/>
  <c r="K62"/>
  <c r="A215"/>
  <c r="A233" s="1"/>
  <c r="A306"/>
  <c r="C123" i="17"/>
  <c r="C154" s="1"/>
  <c r="EO12" i="22" l="1"/>
  <c r="EO14" s="1"/>
  <c r="EN14"/>
  <c r="L193" i="20"/>
  <c r="M34"/>
  <c r="N52"/>
  <c r="A53"/>
  <c r="M52"/>
  <c r="M67" s="1"/>
  <c r="L52"/>
  <c r="L67" s="1"/>
  <c r="D15" i="17"/>
  <c r="B162"/>
  <c r="D14"/>
  <c r="L187" i="20"/>
  <c r="M28"/>
  <c r="L59"/>
  <c r="L190"/>
  <c r="M31"/>
  <c r="L62"/>
  <c r="L186"/>
  <c r="M27"/>
  <c r="L58"/>
  <c r="L65"/>
  <c r="M66"/>
  <c r="L191"/>
  <c r="M32"/>
  <c r="L63"/>
  <c r="Y4"/>
  <c r="N37"/>
  <c r="M196"/>
  <c r="W14" i="22"/>
  <c r="X12"/>
  <c r="B177" i="17"/>
  <c r="F14" s="1"/>
  <c r="C162"/>
  <c r="L192" i="20"/>
  <c r="M33"/>
  <c r="L64"/>
  <c r="L185"/>
  <c r="M25"/>
  <c r="M26"/>
  <c r="L57"/>
  <c r="M35"/>
  <c r="L194"/>
  <c r="N76"/>
  <c r="N204" s="1"/>
  <c r="N83"/>
  <c r="N211" s="1"/>
  <c r="N85"/>
  <c r="N213" s="1"/>
  <c r="M203"/>
  <c r="N84"/>
  <c r="N212" s="1"/>
  <c r="N82"/>
  <c r="N210" s="1"/>
  <c r="N77"/>
  <c r="N205" s="1"/>
  <c r="N87"/>
  <c r="N215" s="1"/>
  <c r="N75"/>
  <c r="N203" s="1"/>
  <c r="N86"/>
  <c r="N214" s="1"/>
  <c r="N80"/>
  <c r="N208" s="1"/>
  <c r="N78"/>
  <c r="N206" s="1"/>
  <c r="N79"/>
  <c r="N207" s="1"/>
  <c r="N81"/>
  <c r="N209" s="1"/>
  <c r="L188"/>
  <c r="M29"/>
  <c r="L60"/>
  <c r="L189"/>
  <c r="M30"/>
  <c r="L61"/>
  <c r="L66"/>
  <c r="M190" l="1"/>
  <c r="N31"/>
  <c r="M62"/>
  <c r="M187"/>
  <c r="N28"/>
  <c r="M59"/>
  <c r="N53"/>
  <c r="M53"/>
  <c r="M68" s="1"/>
  <c r="A54"/>
  <c r="N54" s="1"/>
  <c r="Y12" i="22"/>
  <c r="X14"/>
  <c r="X1" i="20"/>
  <c r="N105"/>
  <c r="N197"/>
  <c r="N124"/>
  <c r="N142" s="1"/>
  <c r="M192"/>
  <c r="N33"/>
  <c r="M64"/>
  <c r="N8" i="17"/>
  <c r="H5"/>
  <c r="G5" s="1"/>
  <c r="M195" i="20"/>
  <c r="N36"/>
  <c r="M185"/>
  <c r="N25"/>
  <c r="N26"/>
  <c r="M57"/>
  <c r="M193"/>
  <c r="N34"/>
  <c r="M65"/>
  <c r="M194"/>
  <c r="N35"/>
  <c r="L20"/>
  <c r="M189"/>
  <c r="N30"/>
  <c r="M61"/>
  <c r="M191"/>
  <c r="N32"/>
  <c r="M63"/>
  <c r="M188"/>
  <c r="N29"/>
  <c r="M60"/>
  <c r="M186"/>
  <c r="N27"/>
  <c r="M58"/>
  <c r="N67"/>
  <c r="Y3"/>
  <c r="N185" l="1"/>
  <c r="N93"/>
  <c r="X13"/>
  <c r="N112"/>
  <c r="N57"/>
  <c r="N68"/>
  <c r="Y2"/>
  <c r="N194"/>
  <c r="X4"/>
  <c r="N121"/>
  <c r="N102"/>
  <c r="N66"/>
  <c r="X2"/>
  <c r="N196"/>
  <c r="N104"/>
  <c r="M104" s="1"/>
  <c r="N123"/>
  <c r="X11"/>
  <c r="N95"/>
  <c r="N187"/>
  <c r="N114"/>
  <c r="N59"/>
  <c r="X9"/>
  <c r="N189"/>
  <c r="N116"/>
  <c r="N97"/>
  <c r="M97" s="1"/>
  <c r="N61"/>
  <c r="X6"/>
  <c r="N119"/>
  <c r="N100"/>
  <c r="M100" s="1"/>
  <c r="L100" s="1"/>
  <c r="N192"/>
  <c r="N64"/>
  <c r="N98"/>
  <c r="N190"/>
  <c r="N117"/>
  <c r="X8"/>
  <c r="N62"/>
  <c r="N69"/>
  <c r="Y1"/>
  <c r="X10"/>
  <c r="N188"/>
  <c r="N96"/>
  <c r="M96" s="1"/>
  <c r="L96" s="1"/>
  <c r="N115"/>
  <c r="N60"/>
  <c r="N191"/>
  <c r="N99"/>
  <c r="M99" s="1"/>
  <c r="L99" s="1"/>
  <c r="K99" s="1"/>
  <c r="N118"/>
  <c r="X7"/>
  <c r="N63"/>
  <c r="M20"/>
  <c r="X3"/>
  <c r="N195"/>
  <c r="N103"/>
  <c r="M103" s="1"/>
  <c r="L103" s="1"/>
  <c r="N122"/>
  <c r="N186"/>
  <c r="X12"/>
  <c r="N94"/>
  <c r="N113"/>
  <c r="N58"/>
  <c r="P8" i="17"/>
  <c r="G8"/>
  <c r="X5" i="20"/>
  <c r="N193"/>
  <c r="N120"/>
  <c r="N101"/>
  <c r="M101" s="1"/>
  <c r="N65"/>
  <c r="N233"/>
  <c r="N251" s="1"/>
  <c r="N306"/>
  <c r="Z12" i="22"/>
  <c r="Y14"/>
  <c r="N140" i="20" l="1"/>
  <c r="M160"/>
  <c r="M177"/>
  <c r="M122"/>
  <c r="N226"/>
  <c r="N299"/>
  <c r="M299" s="1"/>
  <c r="L299" s="1"/>
  <c r="K299" s="1"/>
  <c r="N302"/>
  <c r="N229"/>
  <c r="N295"/>
  <c r="M295" s="1"/>
  <c r="N222"/>
  <c r="N136"/>
  <c r="M156"/>
  <c r="M173" s="1"/>
  <c r="M118"/>
  <c r="M153"/>
  <c r="M170" s="1"/>
  <c r="N133"/>
  <c r="M115"/>
  <c r="N135"/>
  <c r="M155"/>
  <c r="M172" s="1"/>
  <c r="M117"/>
  <c r="N301"/>
  <c r="M301" s="1"/>
  <c r="N228"/>
  <c r="N232"/>
  <c r="N305"/>
  <c r="M305" s="1"/>
  <c r="N139"/>
  <c r="M159"/>
  <c r="M176"/>
  <c r="M121"/>
  <c r="M158"/>
  <c r="M175"/>
  <c r="N138"/>
  <c r="M120"/>
  <c r="N304"/>
  <c r="N231"/>
  <c r="N225"/>
  <c r="N298"/>
  <c r="M298" s="1"/>
  <c r="L298" s="1"/>
  <c r="K298" s="1"/>
  <c r="J298" s="1"/>
  <c r="N296"/>
  <c r="N223"/>
  <c r="L10"/>
  <c r="M10" s="1"/>
  <c r="N10" s="1"/>
  <c r="L16"/>
  <c r="M16" s="1"/>
  <c r="N16" s="1"/>
  <c r="L7"/>
  <c r="M7" s="1"/>
  <c r="N7" s="1"/>
  <c r="L9"/>
  <c r="M9" s="1"/>
  <c r="N9" s="1"/>
  <c r="N20"/>
  <c r="L8"/>
  <c r="M8" s="1"/>
  <c r="N8" s="1"/>
  <c r="L14"/>
  <c r="M14" s="1"/>
  <c r="N14" s="1"/>
  <c r="M95"/>
  <c r="L95" s="1"/>
  <c r="K95" s="1"/>
  <c r="M93"/>
  <c r="L17"/>
  <c r="M17" s="1"/>
  <c r="N17" s="1"/>
  <c r="L12"/>
  <c r="M12" s="1"/>
  <c r="N12" s="1"/>
  <c r="L15"/>
  <c r="M15" s="1"/>
  <c r="N15" s="1"/>
  <c r="L13"/>
  <c r="M13" s="1"/>
  <c r="N13" s="1"/>
  <c r="L11"/>
  <c r="M11" s="1"/>
  <c r="N11" s="1"/>
  <c r="M102"/>
  <c r="L102" s="1"/>
  <c r="K102" s="1"/>
  <c r="L18"/>
  <c r="M18" s="1"/>
  <c r="N18" s="1"/>
  <c r="N131"/>
  <c r="M151"/>
  <c r="M168"/>
  <c r="M113"/>
  <c r="N294"/>
  <c r="N221"/>
  <c r="AA12" i="22"/>
  <c r="Z14"/>
  <c r="N227" i="20"/>
  <c r="N300"/>
  <c r="M300" s="1"/>
  <c r="L300" s="1"/>
  <c r="N224"/>
  <c r="N297"/>
  <c r="M297" s="1"/>
  <c r="L297" s="1"/>
  <c r="K297" s="1"/>
  <c r="J297" s="1"/>
  <c r="I297" s="1"/>
  <c r="M157"/>
  <c r="N137"/>
  <c r="M174"/>
  <c r="M119"/>
  <c r="N134"/>
  <c r="M154"/>
  <c r="M171" s="1"/>
  <c r="M116"/>
  <c r="N132"/>
  <c r="M152"/>
  <c r="M169"/>
  <c r="M114"/>
  <c r="M178"/>
  <c r="N141"/>
  <c r="M161"/>
  <c r="M123"/>
  <c r="M141" s="1"/>
  <c r="N303"/>
  <c r="M303" s="1"/>
  <c r="N230"/>
  <c r="M150"/>
  <c r="M167" s="1"/>
  <c r="N130"/>
  <c r="M112"/>
  <c r="M94"/>
  <c r="M98"/>
  <c r="L98" s="1"/>
  <c r="K98" s="1"/>
  <c r="J98" s="1"/>
  <c r="M280" l="1"/>
  <c r="N242"/>
  <c r="M263"/>
  <c r="M224"/>
  <c r="AB12" i="22"/>
  <c r="AA14"/>
  <c r="M264" i="20"/>
  <c r="M281"/>
  <c r="N243"/>
  <c r="M225"/>
  <c r="M288"/>
  <c r="N250"/>
  <c r="M271"/>
  <c r="M232"/>
  <c r="M250" s="1"/>
  <c r="L158"/>
  <c r="L175"/>
  <c r="M138"/>
  <c r="L120"/>
  <c r="M135"/>
  <c r="L155"/>
  <c r="L172" s="1"/>
  <c r="L117"/>
  <c r="M136"/>
  <c r="L156"/>
  <c r="L173"/>
  <c r="L118"/>
  <c r="N240"/>
  <c r="M261"/>
  <c r="M278" s="1"/>
  <c r="M222"/>
  <c r="N245"/>
  <c r="M266"/>
  <c r="M283" s="1"/>
  <c r="M227"/>
  <c r="X28"/>
  <c r="T29" s="1"/>
  <c r="L6"/>
  <c r="M6" s="1"/>
  <c r="N6" s="1"/>
  <c r="N4" s="1"/>
  <c r="N3" s="1"/>
  <c r="N2" s="1"/>
  <c r="O2" s="1"/>
  <c r="L295"/>
  <c r="K295" s="1"/>
  <c r="J295" s="1"/>
  <c r="I295" s="1"/>
  <c r="H295" s="1"/>
  <c r="G295" s="1"/>
  <c r="L101"/>
  <c r="L303"/>
  <c r="K303" s="1"/>
  <c r="M294"/>
  <c r="L294" s="1"/>
  <c r="L93"/>
  <c r="L97"/>
  <c r="M296"/>
  <c r="L296" s="1"/>
  <c r="K296" s="1"/>
  <c r="J296" s="1"/>
  <c r="I296" s="1"/>
  <c r="H296" s="1"/>
  <c r="M304"/>
  <c r="L304" s="1"/>
  <c r="M302"/>
  <c r="L302" s="1"/>
  <c r="K302" s="1"/>
  <c r="J302" s="1"/>
  <c r="N244"/>
  <c r="M265"/>
  <c r="M282"/>
  <c r="M226"/>
  <c r="L169"/>
  <c r="M132"/>
  <c r="L152"/>
  <c r="L114"/>
  <c r="M134"/>
  <c r="L154"/>
  <c r="L171" s="1"/>
  <c r="L116"/>
  <c r="M137"/>
  <c r="L157"/>
  <c r="L174" s="1"/>
  <c r="L119"/>
  <c r="L151"/>
  <c r="L168" s="1"/>
  <c r="M131"/>
  <c r="L113"/>
  <c r="L159"/>
  <c r="L176"/>
  <c r="M139"/>
  <c r="L121"/>
  <c r="L153"/>
  <c r="L170" s="1"/>
  <c r="M133"/>
  <c r="L115"/>
  <c r="L150"/>
  <c r="L167" s="1"/>
  <c r="M130"/>
  <c r="L112"/>
  <c r="M269"/>
  <c r="M286"/>
  <c r="N248"/>
  <c r="M230"/>
  <c r="N239"/>
  <c r="M260"/>
  <c r="M277"/>
  <c r="M221"/>
  <c r="M262"/>
  <c r="M279" s="1"/>
  <c r="N241"/>
  <c r="M223"/>
  <c r="M270"/>
  <c r="N249"/>
  <c r="M287"/>
  <c r="M231"/>
  <c r="M267"/>
  <c r="M284" s="1"/>
  <c r="N246"/>
  <c r="M228"/>
  <c r="N247"/>
  <c r="M268"/>
  <c r="M285"/>
  <c r="M229"/>
  <c r="L177"/>
  <c r="M140"/>
  <c r="L160"/>
  <c r="L122"/>
  <c r="L140" s="1"/>
  <c r="L94"/>
  <c r="K94" s="1"/>
  <c r="J94" s="1"/>
  <c r="M247" l="1"/>
  <c r="L268"/>
  <c r="L285"/>
  <c r="L229"/>
  <c r="L270"/>
  <c r="M249"/>
  <c r="L287"/>
  <c r="L231"/>
  <c r="L249" s="1"/>
  <c r="M239"/>
  <c r="L260"/>
  <c r="L277" s="1"/>
  <c r="L221"/>
  <c r="L130"/>
  <c r="K167"/>
  <c r="K150"/>
  <c r="K112"/>
  <c r="K176"/>
  <c r="L139"/>
  <c r="K159"/>
  <c r="K121"/>
  <c r="K139" s="1"/>
  <c r="K168"/>
  <c r="L131"/>
  <c r="K151"/>
  <c r="K113"/>
  <c r="K154"/>
  <c r="K171" s="1"/>
  <c r="L134"/>
  <c r="K116"/>
  <c r="L282"/>
  <c r="M244"/>
  <c r="L265"/>
  <c r="L226"/>
  <c r="L266"/>
  <c r="L283" s="1"/>
  <c r="M245"/>
  <c r="L227"/>
  <c r="L136"/>
  <c r="K156"/>
  <c r="K173" s="1"/>
  <c r="K118"/>
  <c r="L135"/>
  <c r="K155"/>
  <c r="K172" s="1"/>
  <c r="K117"/>
  <c r="L281"/>
  <c r="M243"/>
  <c r="L264"/>
  <c r="L225"/>
  <c r="K294"/>
  <c r="J294" s="1"/>
  <c r="I294" s="1"/>
  <c r="H294" s="1"/>
  <c r="G294" s="1"/>
  <c r="F294" s="1"/>
  <c r="L267"/>
  <c r="L284"/>
  <c r="M246"/>
  <c r="L228"/>
  <c r="L262"/>
  <c r="M241"/>
  <c r="L279"/>
  <c r="L223"/>
  <c r="M248"/>
  <c r="L269"/>
  <c r="L286"/>
  <c r="L230"/>
  <c r="K153"/>
  <c r="L133"/>
  <c r="K170"/>
  <c r="K115"/>
  <c r="L137"/>
  <c r="K157"/>
  <c r="K174" s="1"/>
  <c r="K119"/>
  <c r="L132"/>
  <c r="K152"/>
  <c r="K169" s="1"/>
  <c r="K114"/>
  <c r="K97"/>
  <c r="J97" s="1"/>
  <c r="I97" s="1"/>
  <c r="K96"/>
  <c r="K101"/>
  <c r="J101" s="1"/>
  <c r="K100"/>
  <c r="AB14" i="22"/>
  <c r="AC12"/>
  <c r="M240" i="20"/>
  <c r="L261"/>
  <c r="L278"/>
  <c r="L222"/>
  <c r="L138"/>
  <c r="K175"/>
  <c r="K158"/>
  <c r="K120"/>
  <c r="M242"/>
  <c r="L263"/>
  <c r="L280"/>
  <c r="L224"/>
  <c r="L301"/>
  <c r="K93"/>
  <c r="J93" s="1"/>
  <c r="I93" s="1"/>
  <c r="K138" l="1"/>
  <c r="J175"/>
  <c r="J158"/>
  <c r="J120"/>
  <c r="J138" s="1"/>
  <c r="J96"/>
  <c r="I96" s="1"/>
  <c r="H96" s="1"/>
  <c r="J95"/>
  <c r="K301"/>
  <c r="J301" s="1"/>
  <c r="I301" s="1"/>
  <c r="K300"/>
  <c r="J100"/>
  <c r="I100" s="1"/>
  <c r="J99"/>
  <c r="K132"/>
  <c r="J152"/>
  <c r="J169"/>
  <c r="J114"/>
  <c r="J157"/>
  <c r="K137"/>
  <c r="J174"/>
  <c r="J119"/>
  <c r="K133"/>
  <c r="J153"/>
  <c r="J170" s="1"/>
  <c r="J115"/>
  <c r="L248"/>
  <c r="K269"/>
  <c r="K286"/>
  <c r="K230"/>
  <c r="K248" s="1"/>
  <c r="L241"/>
  <c r="K262"/>
  <c r="K279" s="1"/>
  <c r="K223"/>
  <c r="L246"/>
  <c r="K267"/>
  <c r="K284" s="1"/>
  <c r="K228"/>
  <c r="K263"/>
  <c r="L242"/>
  <c r="K280"/>
  <c r="K224"/>
  <c r="L240"/>
  <c r="K261"/>
  <c r="K278" s="1"/>
  <c r="K222"/>
  <c r="AD12" i="22"/>
  <c r="AC14"/>
  <c r="L243" i="20"/>
  <c r="K264"/>
  <c r="K281"/>
  <c r="K225"/>
  <c r="J155"/>
  <c r="J172" s="1"/>
  <c r="K135"/>
  <c r="J117"/>
  <c r="J173"/>
  <c r="K136"/>
  <c r="J156"/>
  <c r="J118"/>
  <c r="K266"/>
  <c r="K283" s="1"/>
  <c r="L245"/>
  <c r="K227"/>
  <c r="L244"/>
  <c r="K265"/>
  <c r="K282"/>
  <c r="K226"/>
  <c r="J154"/>
  <c r="J171" s="1"/>
  <c r="K134"/>
  <c r="J116"/>
  <c r="J168"/>
  <c r="K131"/>
  <c r="J151"/>
  <c r="J113"/>
  <c r="K130"/>
  <c r="J150"/>
  <c r="J167" s="1"/>
  <c r="J112"/>
  <c r="K260"/>
  <c r="K277" s="1"/>
  <c r="L239"/>
  <c r="K221"/>
  <c r="K268"/>
  <c r="K285"/>
  <c r="L247"/>
  <c r="K229"/>
  <c r="J277" l="1"/>
  <c r="K239"/>
  <c r="J260"/>
  <c r="J221"/>
  <c r="J131"/>
  <c r="I151"/>
  <c r="I168" s="1"/>
  <c r="I113"/>
  <c r="K244"/>
  <c r="J265"/>
  <c r="J282" s="1"/>
  <c r="J226"/>
  <c r="I173"/>
  <c r="I156"/>
  <c r="J136"/>
  <c r="I118"/>
  <c r="K243"/>
  <c r="J264"/>
  <c r="J281" s="1"/>
  <c r="J225"/>
  <c r="K246"/>
  <c r="J284"/>
  <c r="J267"/>
  <c r="J228"/>
  <c r="I170"/>
  <c r="J133"/>
  <c r="I153"/>
  <c r="I115"/>
  <c r="J132"/>
  <c r="I152"/>
  <c r="I169" s="1"/>
  <c r="I114"/>
  <c r="I99"/>
  <c r="H99" s="1"/>
  <c r="I98"/>
  <c r="I95"/>
  <c r="H95" s="1"/>
  <c r="G95" s="1"/>
  <c r="I94"/>
  <c r="J278"/>
  <c r="K240"/>
  <c r="J261"/>
  <c r="J222"/>
  <c r="J263"/>
  <c r="J280" s="1"/>
  <c r="K242"/>
  <c r="J224"/>
  <c r="J285"/>
  <c r="J268"/>
  <c r="K247"/>
  <c r="J229"/>
  <c r="J247" s="1"/>
  <c r="I150"/>
  <c r="I167" s="1"/>
  <c r="J130"/>
  <c r="I112"/>
  <c r="J134"/>
  <c r="I171"/>
  <c r="I154"/>
  <c r="I116"/>
  <c r="J266"/>
  <c r="J283" s="1"/>
  <c r="K245"/>
  <c r="J227"/>
  <c r="I172"/>
  <c r="I155"/>
  <c r="J135"/>
  <c r="I117"/>
  <c r="K241"/>
  <c r="J279"/>
  <c r="J262"/>
  <c r="J223"/>
  <c r="I157"/>
  <c r="I174" s="1"/>
  <c r="J137"/>
  <c r="I119"/>
  <c r="I137" s="1"/>
  <c r="AE12" i="22"/>
  <c r="AD14"/>
  <c r="J300" i="20"/>
  <c r="I300" s="1"/>
  <c r="H300" s="1"/>
  <c r="J299"/>
  <c r="H98" l="1"/>
  <c r="G98" s="1"/>
  <c r="H97"/>
  <c r="AE14" i="22"/>
  <c r="AF12"/>
  <c r="I299" i="20"/>
  <c r="H299" s="1"/>
  <c r="G299" s="1"/>
  <c r="I298"/>
  <c r="I262"/>
  <c r="J241"/>
  <c r="I279"/>
  <c r="I223"/>
  <c r="I135"/>
  <c r="H155"/>
  <c r="H172" s="1"/>
  <c r="H117"/>
  <c r="J245"/>
  <c r="I283"/>
  <c r="I266"/>
  <c r="I227"/>
  <c r="I134"/>
  <c r="H171"/>
  <c r="H154"/>
  <c r="H116"/>
  <c r="H150"/>
  <c r="I130"/>
  <c r="H167"/>
  <c r="H112"/>
  <c r="J242"/>
  <c r="I263"/>
  <c r="I280" s="1"/>
  <c r="I224"/>
  <c r="I261"/>
  <c r="I278"/>
  <c r="J240"/>
  <c r="I222"/>
  <c r="H94"/>
  <c r="G94" s="1"/>
  <c r="F94" s="1"/>
  <c r="H93"/>
  <c r="G93" s="1"/>
  <c r="F93" s="1"/>
  <c r="E93" s="1"/>
  <c r="H169"/>
  <c r="I132"/>
  <c r="H152"/>
  <c r="H114"/>
  <c r="H153"/>
  <c r="H170" s="1"/>
  <c r="I133"/>
  <c r="H115"/>
  <c r="I267"/>
  <c r="I284" s="1"/>
  <c r="J246"/>
  <c r="I228"/>
  <c r="I246" s="1"/>
  <c r="I264"/>
  <c r="I281" s="1"/>
  <c r="J243"/>
  <c r="I225"/>
  <c r="I136"/>
  <c r="H156"/>
  <c r="H173"/>
  <c r="H118"/>
  <c r="H136" s="1"/>
  <c r="J244"/>
  <c r="I265"/>
  <c r="I282"/>
  <c r="I226"/>
  <c r="H151"/>
  <c r="H168" s="1"/>
  <c r="I131"/>
  <c r="H113"/>
  <c r="J239"/>
  <c r="I260"/>
  <c r="I277" s="1"/>
  <c r="I221"/>
  <c r="G168" l="1"/>
  <c r="H131"/>
  <c r="G151"/>
  <c r="G113"/>
  <c r="H282"/>
  <c r="H265"/>
  <c r="I244"/>
  <c r="H226"/>
  <c r="G97"/>
  <c r="F97" s="1"/>
  <c r="G96"/>
  <c r="I240"/>
  <c r="H261"/>
  <c r="H278"/>
  <c r="H222"/>
  <c r="I242"/>
  <c r="H263"/>
  <c r="H280"/>
  <c r="H224"/>
  <c r="H130"/>
  <c r="G150"/>
  <c r="G167" s="1"/>
  <c r="G112"/>
  <c r="G154"/>
  <c r="H134"/>
  <c r="G171"/>
  <c r="G116"/>
  <c r="H266"/>
  <c r="H283"/>
  <c r="I245"/>
  <c r="H227"/>
  <c r="H245" s="1"/>
  <c r="H135"/>
  <c r="G155"/>
  <c r="G172"/>
  <c r="G117"/>
  <c r="G135" s="1"/>
  <c r="H262"/>
  <c r="I241"/>
  <c r="H279"/>
  <c r="H223"/>
  <c r="H298"/>
  <c r="G298" s="1"/>
  <c r="F298" s="1"/>
  <c r="H297"/>
  <c r="I239"/>
  <c r="H260"/>
  <c r="H277"/>
  <c r="H221"/>
  <c r="H281"/>
  <c r="I243"/>
  <c r="H264"/>
  <c r="H225"/>
  <c r="G153"/>
  <c r="G170" s="1"/>
  <c r="H133"/>
  <c r="G115"/>
  <c r="G169"/>
  <c r="G152"/>
  <c r="H132"/>
  <c r="G114"/>
  <c r="AG12" i="22"/>
  <c r="AF14"/>
  <c r="G132" i="20" l="1"/>
  <c r="F152"/>
  <c r="F169" s="1"/>
  <c r="F114"/>
  <c r="H243"/>
  <c r="G281"/>
  <c r="G264"/>
  <c r="G225"/>
  <c r="H241"/>
  <c r="G279"/>
  <c r="G262"/>
  <c r="G223"/>
  <c r="G130"/>
  <c r="F167"/>
  <c r="F150"/>
  <c r="F112"/>
  <c r="H240"/>
  <c r="G261"/>
  <c r="G278" s="1"/>
  <c r="G222"/>
  <c r="F96"/>
  <c r="E96" s="1"/>
  <c r="F95"/>
  <c r="G133"/>
  <c r="F153"/>
  <c r="F170" s="1"/>
  <c r="F115"/>
  <c r="G260"/>
  <c r="G277"/>
  <c r="H239"/>
  <c r="G221"/>
  <c r="AH12" i="22"/>
  <c r="AG14"/>
  <c r="F154" i="20"/>
  <c r="F171" s="1"/>
  <c r="G134"/>
  <c r="F116"/>
  <c r="F134" s="1"/>
  <c r="G263"/>
  <c r="G280" s="1"/>
  <c r="H242"/>
  <c r="G224"/>
  <c r="G297"/>
  <c r="F297" s="1"/>
  <c r="E297" s="1"/>
  <c r="G296"/>
  <c r="H244"/>
  <c r="G265"/>
  <c r="G282" s="1"/>
  <c r="G226"/>
  <c r="G244" s="1"/>
  <c r="G131"/>
  <c r="F151"/>
  <c r="F168" s="1"/>
  <c r="F113"/>
  <c r="F131" l="1"/>
  <c r="E151"/>
  <c r="E168" s="1"/>
  <c r="E113"/>
  <c r="F296"/>
  <c r="E296" s="1"/>
  <c r="D296" s="1"/>
  <c r="F295"/>
  <c r="F260"/>
  <c r="F277" s="1"/>
  <c r="G239"/>
  <c r="F221"/>
  <c r="E153"/>
  <c r="E170" s="1"/>
  <c r="F133"/>
  <c r="E115"/>
  <c r="E133" s="1"/>
  <c r="E95"/>
  <c r="D95" s="1"/>
  <c r="E94"/>
  <c r="AI12" i="22"/>
  <c r="AH14"/>
  <c r="F263" i="20"/>
  <c r="F280"/>
  <c r="G242"/>
  <c r="F224"/>
  <c r="G240"/>
  <c r="F261"/>
  <c r="F278" s="1"/>
  <c r="F222"/>
  <c r="E150"/>
  <c r="F130"/>
  <c r="E167"/>
  <c r="E112"/>
  <c r="F262"/>
  <c r="F279"/>
  <c r="G241"/>
  <c r="F223"/>
  <c r="G243"/>
  <c r="F264"/>
  <c r="F281"/>
  <c r="F225"/>
  <c r="F243" s="1"/>
  <c r="F132"/>
  <c r="E152"/>
  <c r="E169"/>
  <c r="E114"/>
  <c r="AJ12" i="22" l="1"/>
  <c r="AI14"/>
  <c r="D150" i="20"/>
  <c r="D167" s="1"/>
  <c r="E130"/>
  <c r="D112"/>
  <c r="E280"/>
  <c r="F242"/>
  <c r="E263"/>
  <c r="E224"/>
  <c r="E242" s="1"/>
  <c r="F239"/>
  <c r="E260"/>
  <c r="E277"/>
  <c r="E221"/>
  <c r="E295"/>
  <c r="D295" s="1"/>
  <c r="C295" s="1"/>
  <c r="E294"/>
  <c r="D152"/>
  <c r="D169" s="1"/>
  <c r="E132"/>
  <c r="D114"/>
  <c r="D132" s="1"/>
  <c r="E262"/>
  <c r="F241"/>
  <c r="E279"/>
  <c r="E223"/>
  <c r="F240"/>
  <c r="E278"/>
  <c r="E261"/>
  <c r="E222"/>
  <c r="D94"/>
  <c r="C94" s="1"/>
  <c r="D93"/>
  <c r="C93" s="1"/>
  <c r="B93" s="1"/>
  <c r="D151"/>
  <c r="D168" s="1"/>
  <c r="E131"/>
  <c r="D113"/>
  <c r="C151" l="1"/>
  <c r="C168" s="1"/>
  <c r="D131"/>
  <c r="C113"/>
  <c r="C131" s="1"/>
  <c r="D130"/>
  <c r="C167"/>
  <c r="C150"/>
  <c r="C112"/>
  <c r="AK12" i="22"/>
  <c r="AJ14"/>
  <c r="E239" i="20"/>
  <c r="D260"/>
  <c r="D277"/>
  <c r="D221"/>
  <c r="E240"/>
  <c r="D261"/>
  <c r="D278"/>
  <c r="D222"/>
  <c r="D262"/>
  <c r="D279" s="1"/>
  <c r="E241"/>
  <c r="D223"/>
  <c r="D241" s="1"/>
  <c r="D294"/>
  <c r="C294" s="1"/>
  <c r="B294" s="1"/>
  <c r="D14" s="1"/>
  <c r="C260" l="1"/>
  <c r="C277" s="1"/>
  <c r="D239"/>
  <c r="C221"/>
  <c r="AL12" i="22"/>
  <c r="AK14"/>
  <c r="D240" i="20"/>
  <c r="C261"/>
  <c r="C278"/>
  <c r="C222"/>
  <c r="C240" s="1"/>
  <c r="C130"/>
  <c r="B150"/>
  <c r="B167" s="1"/>
  <c r="B112"/>
  <c r="B130" s="1"/>
  <c r="AM12" i="22" l="1"/>
  <c r="AL14"/>
  <c r="B260" i="20"/>
  <c r="B277" s="1"/>
  <c r="D17" s="1"/>
  <c r="C239"/>
  <c r="B221"/>
  <c r="AM14" i="22" l="1"/>
  <c r="AN12"/>
  <c r="D15" i="20"/>
  <c r="B239"/>
  <c r="E16" s="1"/>
  <c r="AO12" i="22" l="1"/>
  <c r="AN14"/>
  <c r="AP12" l="1"/>
  <c r="AO14"/>
  <c r="AQ12" l="1"/>
  <c r="AP14"/>
  <c r="AR12" l="1"/>
  <c r="AQ14"/>
  <c r="AR14" l="1"/>
  <c r="AS12"/>
  <c r="AT12" l="1"/>
  <c r="AS14"/>
  <c r="AU12" l="1"/>
  <c r="AT14"/>
  <c r="AU14" l="1"/>
  <c r="AV12"/>
  <c r="AW12" l="1"/>
  <c r="AV14"/>
  <c r="AX12" l="1"/>
  <c r="AW14"/>
  <c r="AY12" l="1"/>
  <c r="AX14"/>
  <c r="AZ12" l="1"/>
  <c r="AY14"/>
  <c r="BA12" l="1"/>
  <c r="AZ14"/>
  <c r="BB12" l="1"/>
  <c r="BA14"/>
  <c r="BC12" l="1"/>
  <c r="BB14"/>
  <c r="BC14" l="1"/>
  <c r="BD12"/>
  <c r="BE12" l="1"/>
  <c r="BD14"/>
  <c r="BF12" l="1"/>
  <c r="BE14"/>
  <c r="BG12" l="1"/>
  <c r="BF14"/>
  <c r="BH12" l="1"/>
  <c r="BG14"/>
  <c r="BH14" l="1"/>
  <c r="BI12"/>
  <c r="BJ12" l="1"/>
  <c r="BI14"/>
  <c r="BK12" l="1"/>
  <c r="BJ14"/>
  <c r="BK14" l="1"/>
  <c r="BL12"/>
  <c r="BM12" l="1"/>
  <c r="BL14"/>
  <c r="BN12" l="1"/>
  <c r="BM14"/>
  <c r="BO12" l="1"/>
  <c r="BN14"/>
  <c r="BP12" l="1"/>
  <c r="BO14"/>
  <c r="BQ12" l="1"/>
  <c r="BP14"/>
  <c r="BR12" l="1"/>
  <c r="BQ14"/>
  <c r="BS12" l="1"/>
  <c r="BR14"/>
  <c r="BS14" l="1"/>
  <c r="BT12"/>
  <c r="BU12" l="1"/>
  <c r="BT14"/>
  <c r="BV12" l="1"/>
  <c r="BU14"/>
  <c r="BW12" l="1"/>
  <c r="BV14"/>
  <c r="BX12" l="1"/>
  <c r="BW14"/>
  <c r="BX14" l="1"/>
  <c r="BY12"/>
  <c r="BZ12" l="1"/>
  <c r="BY14"/>
  <c r="CA12" l="1"/>
  <c r="BZ14"/>
  <c r="CA14" l="1"/>
  <c r="CB12"/>
  <c r="CC12" l="1"/>
  <c r="CB14"/>
  <c r="CD12" l="1"/>
  <c r="CC14"/>
  <c r="CE12" l="1"/>
  <c r="CD14"/>
  <c r="CF12" l="1"/>
  <c r="CE14"/>
  <c r="CG12" l="1"/>
  <c r="CF14"/>
  <c r="CH12" l="1"/>
  <c r="CG14"/>
  <c r="CI12" l="1"/>
  <c r="CH14"/>
  <c r="CI14" l="1"/>
  <c r="CJ12"/>
  <c r="CK12" l="1"/>
  <c r="CJ14"/>
  <c r="CL12" l="1"/>
  <c r="CK14"/>
  <c r="CM12" l="1"/>
  <c r="CL14"/>
  <c r="CN12" l="1"/>
  <c r="CM14"/>
  <c r="CN14" l="1"/>
  <c r="CO12"/>
  <c r="CP12" l="1"/>
  <c r="CO14"/>
  <c r="CQ12" l="1"/>
  <c r="CP14"/>
  <c r="CQ14" l="1"/>
  <c r="CR12"/>
  <c r="CS12" l="1"/>
  <c r="CR14"/>
  <c r="CT12" l="1"/>
  <c r="CS14"/>
  <c r="CU12" l="1"/>
  <c r="CT14"/>
  <c r="CV12" l="1"/>
  <c r="CU14"/>
  <c r="CW12" l="1"/>
  <c r="CV14"/>
  <c r="CX12" l="1"/>
  <c r="CW14"/>
  <c r="CY12" l="1"/>
  <c r="CX14"/>
  <c r="CY14" l="1"/>
  <c r="CZ12"/>
  <c r="DA12" l="1"/>
  <c r="CZ14"/>
  <c r="DB12" l="1"/>
  <c r="DA14"/>
  <c r="DC12" l="1"/>
  <c r="DB14"/>
  <c r="DD12" l="1"/>
  <c r="DC14"/>
  <c r="DD14" l="1"/>
  <c r="DE12"/>
  <c r="DF12" l="1"/>
  <c r="DE14"/>
  <c r="DG12" l="1"/>
  <c r="DF14"/>
  <c r="DG14" l="1"/>
  <c r="DH12"/>
  <c r="DI12" l="1"/>
  <c r="DH14"/>
  <c r="DJ12" l="1"/>
  <c r="DI14"/>
  <c r="DK12" l="1"/>
  <c r="DJ14"/>
  <c r="DL12" l="1"/>
  <c r="DK14"/>
  <c r="DM12" l="1"/>
  <c r="DL14"/>
  <c r="DN12" l="1"/>
  <c r="DM14"/>
  <c r="DO12" l="1"/>
  <c r="DN14"/>
  <c r="DO14" l="1"/>
  <c r="DP12"/>
  <c r="DQ12" l="1"/>
  <c r="DP14"/>
  <c r="DR12" l="1"/>
  <c r="DQ14"/>
  <c r="DS12" l="1"/>
  <c r="DR14"/>
  <c r="DT12" l="1"/>
  <c r="DS14"/>
  <c r="DT14" l="1"/>
  <c r="DU12"/>
  <c r="DV12" l="1"/>
  <c r="DU14"/>
  <c r="DW12" l="1"/>
  <c r="DV14"/>
  <c r="DW14" l="1"/>
  <c r="DX12"/>
  <c r="DY12" l="1"/>
  <c r="DX14"/>
  <c r="DZ12" l="1"/>
  <c r="DY14"/>
  <c r="EA12" l="1"/>
  <c r="DZ14"/>
  <c r="EB12" l="1"/>
  <c r="EA14"/>
  <c r="EC12" l="1"/>
  <c r="EB14"/>
  <c r="EP14" l="1"/>
  <c r="EC14"/>
  <c r="B17" l="1"/>
  <c r="B15"/>
  <c r="B16"/>
</calcChain>
</file>

<file path=xl/comments1.xml><?xml version="1.0" encoding="utf-8"?>
<comments xmlns="http://schemas.openxmlformats.org/spreadsheetml/2006/main">
  <authors>
    <author>dgeltner</author>
  </authors>
  <commentList>
    <comment ref="A4" authorId="0">
      <text>
        <r>
          <rPr>
            <b/>
            <sz val="9"/>
            <color indexed="81"/>
            <rFont val="Tahoma"/>
            <family val="2"/>
          </rPr>
          <t>dgeltner:</t>
        </r>
        <r>
          <rPr>
            <sz val="9"/>
            <color indexed="81"/>
            <rFont val="Tahoma"/>
            <family val="2"/>
          </rPr>
          <t xml:space="preserve">
See CD Appendix 27, Section 27.5.1, Formula (A.7).</t>
        </r>
      </text>
    </comment>
    <comment ref="B11" authorId="0">
      <text>
        <r>
          <rPr>
            <b/>
            <sz val="9"/>
            <color indexed="81"/>
            <rFont val="Tahoma"/>
            <family val="2"/>
          </rPr>
          <t>dgeltner:</t>
        </r>
        <r>
          <rPr>
            <sz val="9"/>
            <color indexed="81"/>
            <rFont val="Tahoma"/>
            <family val="2"/>
          </rPr>
          <t xml:space="preserve">
This is the "Development Risk Ratio" described in Section 29.1.3.</t>
        </r>
      </text>
    </comment>
  </commentList>
</comments>
</file>

<file path=xl/comments2.xml><?xml version="1.0" encoding="utf-8"?>
<comments xmlns="http://schemas.openxmlformats.org/spreadsheetml/2006/main">
  <authors>
    <author>dgeltner</author>
  </authors>
  <commentList>
    <comment ref="A2" authorId="0">
      <text>
        <r>
          <rPr>
            <b/>
            <sz val="9"/>
            <color indexed="81"/>
            <rFont val="Tahoma"/>
            <family val="2"/>
          </rPr>
          <t>dgeltner:</t>
        </r>
        <r>
          <rPr>
            <sz val="9"/>
            <color indexed="81"/>
            <rFont val="Tahoma"/>
            <family val="2"/>
          </rPr>
          <t xml:space="preserve">
These inputs are exogenous in a formal sense for the derivation here. You can set them to be whatever you want. However, in reality they will (or should) reflect the true economics of the project in the context of the relevant markets for stabilized property assets, bonds, and developable land. For example, here the inputs are based on the "Dvlpt OCC Estn" and "Sam-McK Formula" tabs to the left.</t>
        </r>
      </text>
    </comment>
  </commentList>
</comments>
</file>

<file path=xl/sharedStrings.xml><?xml version="1.0" encoding="utf-8"?>
<sst xmlns="http://schemas.openxmlformats.org/spreadsheetml/2006/main" count="408" uniqueCount="262">
  <si>
    <t>Resulting (output):</t>
  </si>
  <si>
    <t>"p" real prob=</t>
  </si>
  <si>
    <t>rf/period=</t>
  </si>
  <si>
    <t>sig/period=</t>
  </si>
  <si>
    <t>K gro/per=</t>
  </si>
  <si>
    <t>Optimal exercise:</t>
  </si>
  <si>
    <t>"u" =</t>
  </si>
  <si>
    <t>*Note: All input rates nominal annual rates.</t>
  </si>
  <si>
    <t>E[C(t+1)]/(1+E[r(c )(t)])=CEQ[C(t+1)]/(1+rf)</t>
  </si>
  <si>
    <t>==&gt; (1+E[r(c )(t)) =(1+rf)*E[C(t+1)]/CEQ[C(t+1)]</t>
  </si>
  <si>
    <r>
      <t>"down" moves ("</t>
    </r>
    <r>
      <rPr>
        <i/>
        <sz val="12"/>
        <rFont val="Times New Roman"/>
        <family val="1"/>
      </rPr>
      <t>i"):</t>
    </r>
  </si>
  <si>
    <r>
      <t>Period ("</t>
    </r>
    <r>
      <rPr>
        <i/>
        <sz val="12"/>
        <rFont val="Times New Roman"/>
        <family val="1"/>
      </rPr>
      <t>j</t>
    </r>
    <r>
      <rPr>
        <sz val="12"/>
        <rFont val="Times New Roman"/>
        <family val="1"/>
      </rPr>
      <t>"):</t>
    </r>
  </si>
  <si>
    <r>
      <t>"</t>
    </r>
    <r>
      <rPr>
        <i/>
        <sz val="12"/>
        <rFont val="Times New Roman"/>
        <family val="1"/>
      </rPr>
      <t>n</t>
    </r>
    <r>
      <rPr>
        <sz val="12"/>
        <rFont val="Times New Roman"/>
        <family val="1"/>
      </rPr>
      <t>" =</t>
    </r>
  </si>
  <si>
    <t>Note: Since the equilibrium (Sam-McK) value of the as-of-right land today equals the PV of holding the as-of-right land for sale later, there is decision indifference between selling the land today vs holding it for future speculation.</t>
  </si>
  <si>
    <t>PV of 1 period delayed receipt of Phase 2 option value:</t>
  </si>
  <si>
    <t>"d" =</t>
  </si>
  <si>
    <t>V(initial) =</t>
  </si>
  <si>
    <t>K(initial) =</t>
  </si>
  <si>
    <t>Phase 1 option value tree (reflecting 2 periods construction time):</t>
  </si>
  <si>
    <t>with Fisher-Margrabe extension</t>
  </si>
  <si>
    <t>Input Values:</t>
  </si>
  <si>
    <t>Underlying asset (built property) current mkt value (V)</t>
  </si>
  <si>
    <t>Construction cost exclusive of land (K)</t>
  </si>
  <si>
    <t>Output values:</t>
  </si>
  <si>
    <t>= % chg in opt val per % chg in V (infinitessimal)</t>
  </si>
  <si>
    <t>Hurdle Benefit/Cost Ratio (V*/K)</t>
  </si>
  <si>
    <t>Critical Value of Underlying Asset (optimal development at not below):</t>
  </si>
  <si>
    <t>Optimal immediate exercise (development)?:</t>
  </si>
  <si>
    <t>1-Period Option Opportunity Cost of Capital:</t>
  </si>
  <si>
    <t>Option Opportunity Cost of Capital per Annum (EAR):</t>
  </si>
  <si>
    <r>
      <t>Year ("</t>
    </r>
    <r>
      <rPr>
        <i/>
        <sz val="12"/>
        <rFont val="Times New Roman"/>
        <family val="1"/>
      </rPr>
      <t>j</t>
    </r>
    <r>
      <rPr>
        <sz val="12"/>
        <rFont val="Times New Roman"/>
        <family val="1"/>
      </rPr>
      <t>"):</t>
    </r>
  </si>
  <si>
    <t>Fisher Landing Expected Values:</t>
  </si>
  <si>
    <t>Value of Option on Phase II (Fisher Landing), reflecting 2-yr time-to-build:</t>
  </si>
  <si>
    <t>Opt Expires</t>
  </si>
  <si>
    <t>PV of 2 period delayed receipt of Phase 2 option value:</t>
  </si>
  <si>
    <t>Frenchman Cove Expected Values:</t>
  </si>
  <si>
    <t>Frenchman Cove Construction Cost Tree:</t>
  </si>
  <si>
    <t>Fisher Landing Construction Cost Tree:</t>
  </si>
  <si>
    <t>Value of Option on Phase I (Frenchman Cove), reflecting 2-yr time-to-build:</t>
  </si>
  <si>
    <r>
      <t>1st Phase Optimal Exercise</t>
    </r>
    <r>
      <rPr>
        <sz val="12"/>
        <rFont val="Times New Roman"/>
        <family val="1"/>
      </rPr>
      <t>:</t>
    </r>
  </si>
  <si>
    <t>Roth Harbor OCC:</t>
  </si>
  <si>
    <r>
      <t>Rentleg Construction Cost Tree</t>
    </r>
    <r>
      <rPr>
        <sz val="12"/>
        <rFont val="Times New Roman"/>
        <family val="1"/>
      </rPr>
      <t>:</t>
    </r>
  </si>
  <si>
    <r>
      <t>Rentleg Land Value Tr</t>
    </r>
    <r>
      <rPr>
        <sz val="12"/>
        <rFont val="Times New Roman"/>
        <family val="1"/>
      </rPr>
      <t>ee (Samuelson-McKean, reflecting 1 yr time-to-build):</t>
    </r>
  </si>
  <si>
    <t>PV(ben II)</t>
  </si>
  <si>
    <t>PV(ben I)</t>
  </si>
  <si>
    <t>IRR=</t>
  </si>
  <si>
    <t>R.O. NPV=</t>
  </si>
  <si>
    <t>Note: Since the option includes the right to sell the land, and the PV today of the right to sell the land next period equals the Sam-McK PV of the land today, the value of holding the option is the MAX of either the cert-equiv option valuation or the current Sam-McK land value. (In effect this is redundant with the ability to sell the land directly today, which also exists.)</t>
  </si>
  <si>
    <t>Rentleg Gardens Expected Values: (as if new):</t>
  </si>
  <si>
    <r>
      <t>Rentleg Gardens Value Tr</t>
    </r>
    <r>
      <rPr>
        <sz val="12"/>
        <rFont val="Times New Roman"/>
        <family val="1"/>
      </rPr>
      <t>ee (as if new, ex dividend):</t>
    </r>
  </si>
  <si>
    <r>
      <t>Fisher Landing Underlying Asset Value Tr</t>
    </r>
    <r>
      <rPr>
        <sz val="12"/>
        <rFont val="Times New Roman"/>
        <family val="1"/>
      </rPr>
      <t>ee (as if new, ex dividend):</t>
    </r>
  </si>
  <si>
    <r>
      <t>Frenchman Cove Underlying Asset Value Tr</t>
    </r>
    <r>
      <rPr>
        <sz val="12"/>
        <rFont val="Times New Roman"/>
        <family val="1"/>
      </rPr>
      <t>ee (as if new, ex-dividend):</t>
    </r>
  </si>
  <si>
    <t>Contingency Probabilities:</t>
  </si>
  <si>
    <t>Samuelson-McKean Formula:</t>
  </si>
  <si>
    <t>Project volatility (sigma) = sqrt(var(V)+var(K)-2cov(V,K))</t>
  </si>
  <si>
    <t>Underlying asset (built property) current yield (yV)</t>
  </si>
  <si>
    <t>Construction cost yield (yK)</t>
  </si>
  <si>
    <t>Tree real probabilities:</t>
  </si>
  <si>
    <t>Enter (input)*:</t>
  </si>
  <si>
    <r>
      <t>Period length (</t>
    </r>
    <r>
      <rPr>
        <i/>
        <sz val="12"/>
        <rFont val="Arial MT"/>
      </rPr>
      <t>T/n</t>
    </r>
    <r>
      <rPr>
        <sz val="12"/>
        <rFont val="Arial MT"/>
      </rPr>
      <t>) in yrs =</t>
    </r>
  </si>
  <si>
    <t>Riskfree interest rate (rf) =</t>
  </si>
  <si>
    <t>Volatility (sigma) =</t>
  </si>
  <si>
    <t>K growth rate (gK) =</t>
  </si>
  <si>
    <t>Underl Asset Total Return (rV) =</t>
  </si>
  <si>
    <t>yV/period=</t>
  </si>
  <si>
    <t>rV/period =</t>
  </si>
  <si>
    <t>Option Val=</t>
  </si>
  <si>
    <t>Expected Values of V:</t>
  </si>
  <si>
    <t>For computation of Expected Value of V…</t>
  </si>
  <si>
    <t>Computation of option OCC based on certainty-equivalence formula:</t>
  </si>
  <si>
    <t>V(Ph.II)(initial) =</t>
  </si>
  <si>
    <t>V(Ph.I)(initial) =</t>
  </si>
  <si>
    <t>K(Ph.I)(initial) =</t>
  </si>
  <si>
    <t>V(AOR)(initial) =</t>
  </si>
  <si>
    <t>K(AOR)(initial) =</t>
  </si>
  <si>
    <t>*Note: All input rates nominal annual rates, and all underlying assets V(AOR), V(Ph.I), and V(Ph.II) have same dynamics (perfectly correllated, same growth, risk, payout, etc.).</t>
  </si>
  <si>
    <t>yK/period=</t>
  </si>
  <si>
    <t>eta =</t>
  </si>
  <si>
    <r>
      <t>Rentleg Hurdle Value Tr</t>
    </r>
    <r>
      <rPr>
        <sz val="12"/>
        <rFont val="Times New Roman"/>
        <family val="1"/>
      </rPr>
      <t>ee (Samuelson-McKean, reflecting 1 yr time-to-build):</t>
    </r>
  </si>
  <si>
    <r>
      <t>Rentleg Optimal Exercise</t>
    </r>
    <r>
      <rPr>
        <sz val="12"/>
        <rFont val="Times New Roman"/>
        <family val="1"/>
      </rPr>
      <t>:</t>
    </r>
  </si>
  <si>
    <t>Option Val**=</t>
  </si>
  <si>
    <t>Traditional DCF Analysis:</t>
  </si>
  <si>
    <t>DCF PV @ (nom%) =</t>
  </si>
  <si>
    <t>PV=</t>
  </si>
  <si>
    <t>Land cost</t>
  </si>
  <si>
    <t>PV(cost I)</t>
  </si>
  <si>
    <t>PV(cost II)</t>
  </si>
  <si>
    <t>Costs</t>
  </si>
  <si>
    <t>Bens</t>
  </si>
  <si>
    <t>Gross Value Analysis:</t>
  </si>
  <si>
    <t>Ph I PV</t>
  </si>
  <si>
    <t>Ph II PV</t>
  </si>
  <si>
    <t>NPV =</t>
  </si>
  <si>
    <t>K(Ph.II(initial) =</t>
  </si>
  <si>
    <t>MAX(sell land now, or exer phase 1 now get PV of V1-K1 after ttb + PV of phase 2 option after ttb, or hold option)</t>
  </si>
  <si>
    <t>Note: Because of 2 period time-to-build of Phase I, we receive option on Phase II only after a 2 period delay. We must account for this in PV of Phase II option...</t>
  </si>
  <si>
    <t>Note: This is the value of the overall Roth Harbor Place option.</t>
  </si>
  <si>
    <t>Optimal Land Value Fraction at Development ((V*-K)/V*)</t>
  </si>
  <si>
    <t>Current Land Value  as Fraction of Current Built Property Value</t>
  </si>
  <si>
    <t>Note:</t>
  </si>
  <si>
    <t>For example:</t>
  </si>
  <si>
    <t>Suppose our expectation of the value of the underl asset in Period 12 is that it will be:</t>
  </si>
  <si>
    <t>Then set the initial value of V at Time 0 =</t>
  </si>
  <si>
    <r>
      <t>How to set Time 0 starting value of underlying asset V for the binomial tree when you know only an estimated future value for V:</t>
    </r>
    <r>
      <rPr>
        <sz val="12"/>
        <rFont val="Arial MT"/>
      </rPr>
      <t xml:space="preserve"> </t>
    </r>
  </si>
  <si>
    <t>Similarly for K.</t>
  </si>
  <si>
    <t>V gro/per=</t>
  </si>
  <si>
    <t>Init OCC/per =</t>
  </si>
  <si>
    <t>Underl Asset Cash yield (yV) =</t>
  </si>
  <si>
    <t>12=period volatility:</t>
  </si>
  <si>
    <t>This workbook is meant strictly for educational use. No liability is assumed for the content or usage of this educational tool.</t>
  </si>
  <si>
    <t>Underl Asset</t>
  </si>
  <si>
    <t>Option</t>
  </si>
  <si>
    <t>E[r] =</t>
  </si>
  <si>
    <t>r(up)=</t>
  </si>
  <si>
    <t>r(down)=</t>
  </si>
  <si>
    <t>STD[r]=</t>
  </si>
  <si>
    <t>Comparison:</t>
  </si>
  <si>
    <t>Ratio of vol</t>
  </si>
  <si>
    <t>Ratio of RP</t>
  </si>
  <si>
    <t>Ratio of spread</t>
  </si>
  <si>
    <t>V:</t>
  </si>
  <si>
    <t>Arbitrage Valuation:</t>
  </si>
  <si>
    <t>Pu = NVu - B(1+rf) = Cu, Pd = NVd - B(1+rf) = Cd solved for N and B, ==&gt; N==(Cu-Cd)/(Vu-Vd), B==(NVd-Cd)/(1+rf), with evaluation of present option value:</t>
  </si>
  <si>
    <t>C=Max(V-K,NV-B) where present value V (after comma only) is not current time zero value of V but rather:</t>
  </si>
  <si>
    <t>Expected Value of V:</t>
  </si>
  <si>
    <t>E[V]/(1+rV) = (pVu+(1-p)Vd)/(1+rV) = V[(1+rV)/(1+yV)]/(1+rV) = V(1+gV)/(1+rV) = V/(1+yV) where yV is the payout rate of V.</t>
  </si>
  <si>
    <t>Net of payout("ex dividend") value:</t>
  </si>
  <si>
    <t>Example:</t>
  </si>
  <si>
    <t>Consider the value of the option at node (0,0) (that is, at time 0, the present), with no immediate exercise possibility (Euro value).</t>
  </si>
  <si>
    <t>This is the value of an option to acquire underl asset next period that will either be worth:</t>
  </si>
  <si>
    <t>or:</t>
  </si>
  <si>
    <t>with actual (real) probabilities:</t>
  </si>
  <si>
    <t>and:</t>
  </si>
  <si>
    <t>respectively.</t>
  </si>
  <si>
    <t>And exercise price K=</t>
  </si>
  <si>
    <t>PV[today, of next yr val] =</t>
  </si>
  <si>
    <t>The "hedge ratio" (aka "N", or "delta"), the number of underl asset shares to acquire, is:</t>
  </si>
  <si>
    <t>. The Bond purchase amt (aka "B") is:</t>
  </si>
  <si>
    <t>CEQ[next yr] =</t>
  </si>
  <si>
    <t>=</t>
  </si>
  <si>
    <t>The Euro option is then valued as: NV-B =</t>
  </si>
  <si>
    <t>. Otherwise we can construct a riskless profitable arbitrage by going long or short in the option.</t>
  </si>
  <si>
    <t>This is equivalent to the valuation formulas used in the spreadsheet below:</t>
  </si>
  <si>
    <t>K:</t>
  </si>
  <si>
    <t>K Value:</t>
  </si>
  <si>
    <t>C:</t>
  </si>
  <si>
    <t>Eurpoean Call Option Value:</t>
  </si>
  <si>
    <t>Amer</t>
  </si>
  <si>
    <t>PerAnnum</t>
  </si>
  <si>
    <t>Euro</t>
  </si>
  <si>
    <t>European Option Value Tree for 12 Month Option:</t>
  </si>
  <si>
    <t>Development is possible only in month 12:</t>
  </si>
  <si>
    <t>Construction Cost Tree for 12 Months (in $ millions):</t>
  </si>
  <si>
    <t>American Option Value Tree for 12 Month Option:</t>
  </si>
  <si>
    <t>Development possible in any month:</t>
  </si>
  <si>
    <t>Time to build (periods)</t>
  </si>
  <si>
    <t>American Option Optimal Exercise for 12 Month Option:</t>
  </si>
  <si>
    <t>per annum EAR</t>
  </si>
  <si>
    <t>Current opt action:</t>
  </si>
  <si>
    <t>Option OCC</t>
  </si>
  <si>
    <t>Underlying Asset Value Tree for 12 Periods:</t>
  </si>
  <si>
    <t>TTB = 0</t>
  </si>
  <si>
    <t>Underlying Asset Value Tree with Time to Build:</t>
  </si>
  <si>
    <t>Construction cost with Time to Build:</t>
  </si>
  <si>
    <t>American Option Value Tree with Time to Build:</t>
  </si>
  <si>
    <t>Optimal Exercise with Time to Build:</t>
  </si>
  <si>
    <t>OCC with Time to Build:</t>
  </si>
  <si>
    <t>European Option with time to build:</t>
  </si>
  <si>
    <t>PV of forward claim on new office building (ex-dividend)</t>
  </si>
  <si>
    <t>PV of forward cost of construction</t>
  </si>
  <si>
    <t>Development possible in any month, takes ttb months from then:</t>
  </si>
  <si>
    <r>
      <t>Binomial Model Example with Time to Build…</t>
    </r>
    <r>
      <rPr>
        <sz val="12"/>
        <rFont val="Arial MT"/>
      </rPr>
      <t xml:space="preserve"> (12 periods) </t>
    </r>
  </si>
  <si>
    <r>
      <t>Office building values (</t>
    </r>
    <r>
      <rPr>
        <i/>
        <sz val="12"/>
        <rFont val="Times New Roman"/>
        <family val="1"/>
      </rPr>
      <t xml:space="preserve">"V" </t>
    </r>
    <r>
      <rPr>
        <sz val="12"/>
        <rFont val="Times New Roman"/>
        <family val="1"/>
      </rPr>
      <t>ex-dividend, new):</t>
    </r>
  </si>
  <si>
    <r>
      <t>Period (</t>
    </r>
    <r>
      <rPr>
        <i/>
        <sz val="12"/>
        <rFont val="Times New Roman"/>
        <family val="1"/>
      </rPr>
      <t>"j"</t>
    </r>
    <r>
      <rPr>
        <sz val="12"/>
        <rFont val="Times New Roman"/>
        <family val="1"/>
      </rPr>
      <t>):</t>
    </r>
  </si>
  <si>
    <r>
      <t>n</t>
    </r>
    <r>
      <rPr>
        <sz val="12"/>
        <rFont val="Times New Roman"/>
        <family val="1"/>
      </rPr>
      <t xml:space="preserve"> = 12</t>
    </r>
  </si>
  <si>
    <r>
      <t>Office Building Construction Costs (</t>
    </r>
    <r>
      <rPr>
        <i/>
        <sz val="12"/>
        <rFont val="Times New Roman"/>
        <family val="1"/>
      </rPr>
      <t>"K"</t>
    </r>
    <r>
      <rPr>
        <sz val="12"/>
        <rFont val="Times New Roman"/>
        <family val="1"/>
      </rPr>
      <t>):</t>
    </r>
  </si>
  <si>
    <t>/yr=OCC 1st period</t>
  </si>
  <si>
    <t>Implied OCC of Land:</t>
  </si>
  <si>
    <r>
      <t xml:space="preserve">Option (land value) elasticity ( </t>
    </r>
    <r>
      <rPr>
        <i/>
        <sz val="12"/>
        <rFont val="Arial MT"/>
      </rPr>
      <t>"eta"</t>
    </r>
    <r>
      <rPr>
        <sz val="12"/>
        <rFont val="Arial MT"/>
      </rPr>
      <t xml:space="preserve"> = </t>
    </r>
    <r>
      <rPr>
        <i/>
        <sz val="12"/>
        <rFont val="Arial MT"/>
      </rPr>
      <t xml:space="preserve">(dC/dV) / (C/V) </t>
    </r>
    <r>
      <rPr>
        <sz val="12"/>
        <rFont val="Arial MT"/>
      </rPr>
      <t>)</t>
    </r>
  </si>
  <si>
    <t>Current Land Value (C)</t>
  </si>
  <si>
    <t>&lt;== Unless FutureSpace stabilized property has almost 30% annual volatility, project is "more than ripe" (should have been developed earlier).</t>
  </si>
  <si>
    <t>Answer: Discount to Time 0 the future estimated value of V by V's growth rate: gV = (1+rV)/(1+yV)-1.</t>
  </si>
  <si>
    <t>Phase I canonical</t>
  </si>
  <si>
    <t>Canonical OCC</t>
  </si>
  <si>
    <t>Phase II canonical</t>
  </si>
  <si>
    <t>Ad Hoc PV=</t>
  </si>
  <si>
    <t>Note: The Phase II option does not include a residual land sell-out abandonment option, because Phase I would already have been built (otherwise the Phase II option would not exist), and Phase I already includes a density greater than the As-Of-Right allowance on the land. If Phase II is not built, the value of the property will be based on either Phase I alone (if it is built) or the As-Of-Right value (if Phase I not built). In any case, these sources of value are fully accounted for in the valuation of the overall Roth Harbor Place option below. If there WERE still unused development rights on the part of the site where Phase II would be built, then the terminal value of the Phase II option would be: MAX(Phase II Dvlpt PV, Resid Land Val), instead of: MAX(Phase II Dvlpt PV, 0) as in column G above. (The Resid Land Val could be quantified using the Samuelson-McKean Formula.)</t>
  </si>
  <si>
    <t>Estimation of OCC for development phase (ErC)…</t>
  </si>
  <si>
    <t>Enter:</t>
  </si>
  <si>
    <t>V(T)</t>
  </si>
  <si>
    <t>L(T)</t>
  </si>
  <si>
    <t>ErV</t>
  </si>
  <si>
    <t>ErD</t>
  </si>
  <si>
    <t>Then (output computed):</t>
  </si>
  <si>
    <t>V(0) =</t>
  </si>
  <si>
    <t>L(0) =</t>
  </si>
  <si>
    <t>Implied E(0) =</t>
  </si>
  <si>
    <t>Checking:</t>
  </si>
  <si>
    <t>=Implied E(0) value (= LAND+Fees) if NPV=0:</t>
  </si>
  <si>
    <t>Note: ErD+(ErV-ErD)*LR = (ErV-LTV*ErD)/(1-LTV).</t>
  </si>
  <si>
    <t>Annualized</t>
  </si>
  <si>
    <t>* Based on WACC with LR=V(0)/E(0), exact as a simple return only (only for T = 1 period here).</t>
  </si>
  <si>
    <t>T (periods)</t>
  </si>
  <si>
    <t>Periods/Yr</t>
  </si>
  <si>
    <t>The following worksheets explicate some of the options-related numerical examples and exhibits in the main text of Chapter 29 and the accompanying CD supplementary Appendix 29.</t>
  </si>
  <si>
    <r>
      <t>Binomial Option Model Example in Section 29.2 of the printed text.</t>
    </r>
    <r>
      <rPr>
        <sz val="12"/>
        <rFont val="Arial MT"/>
      </rPr>
      <t xml:space="preserve"> (Probabilities fixed at 50%.)</t>
    </r>
  </si>
  <si>
    <r>
      <t>Roth Harbor (Example in Appendix 29 on the CD)…</t>
    </r>
    <r>
      <rPr>
        <sz val="12"/>
        <rFont val="Arial MT"/>
      </rPr>
      <t xml:space="preserve"> 2-phase finite-life special compound option. Phase 1 must begin within 3 periods, Phase 2 within 5 periods. Completion of 1st phase allows (&amp; is required for) commencement of 2nd phase. Sam-McK-based As-Of-Right Land Value (with 1-period time-to-build) Sell-out (abandonment of special project) option at any time instead of commencement of Phase I.</t>
    </r>
  </si>
  <si>
    <t>"Canonical" OCC (per Ch.29 Sect. 29.1.2 formula (4))</t>
  </si>
  <si>
    <t>"Canonical" OCC (per Ch.29 Sect. 29.1.2 formula (5))*</t>
  </si>
  <si>
    <t>G-M 2e 29.1.2 exmpl</t>
  </si>
  <si>
    <t>Gross</t>
  </si>
  <si>
    <t>ConstrCost</t>
  </si>
  <si>
    <t>Profit Ratio</t>
  </si>
  <si>
    <t>@1.2 ratio</t>
  </si>
  <si>
    <t>Cost YLD (cap)=</t>
  </si>
  <si>
    <t>@10% yld on cost</t>
  </si>
  <si>
    <t>irr</t>
  </si>
  <si>
    <t>PV</t>
  </si>
  <si>
    <t>= RP.</t>
  </si>
  <si>
    <t>WACC</t>
  </si>
  <si>
    <t>Method 1 (canonical X-Mkt Equilibr)</t>
  </si>
  <si>
    <t>Constr Ln Int</t>
  </si>
  <si>
    <t>Def Prob</t>
  </si>
  <si>
    <t>Condl Loss Severity</t>
  </si>
  <si>
    <t>Loan contract inflow</t>
  </si>
  <si>
    <t>Loan exptd inflow</t>
  </si>
  <si>
    <t>Loan exptd outflow value</t>
  </si>
  <si>
    <t>Loan NPV (T)</t>
  </si>
  <si>
    <t>EOY Asset value Event Factor</t>
  </si>
  <si>
    <t>=RP windfall =</t>
  </si>
  <si>
    <t>ex post RP LR</t>
  </si>
  <si>
    <t>Time 0 LR</t>
  </si>
  <si>
    <t>Time T LR</t>
  </si>
  <si>
    <t>Time T/0 LR</t>
  </si>
  <si>
    <t>Yield (yV):</t>
  </si>
  <si>
    <t>Sigma:</t>
  </si>
  <si>
    <t>Land Fraction Data Table:</t>
  </si>
  <si>
    <t>Project Volatility (Sigma) Table:</t>
  </si>
  <si>
    <t>Sigma(K):</t>
  </si>
  <si>
    <t>Sigma(V) = Volatility of underlying asset (built property).</t>
  </si>
  <si>
    <t>Sigma(K) = Volatility of construction costs.</t>
  </si>
  <si>
    <t>Correl(V,K) = Correlation between property values and construction costs.</t>
  </si>
  <si>
    <t>Option Elasticity (Dvlpt Risk Ratio) Data Table:</t>
  </si>
  <si>
    <t>Some Sensitivity Analyses…</t>
  </si>
  <si>
    <t>Dvlpt+10-yr hold (Blended results)…</t>
  </si>
  <si>
    <t>This workbook is meant to accompany "Commercial Real Estate Analysis &amp; Investments", 3rd Edition, by D.Geltner &amp; N.Miller, © South-Western College Publishing Co.</t>
  </si>
  <si>
    <t>CapR on Val (yV)</t>
  </si>
  <si>
    <t>Constr Duration (T)</t>
  </si>
  <si>
    <t>Dvlpt OCC (E[rC])</t>
  </si>
  <si>
    <t>EnhCapRonCost</t>
  </si>
  <si>
    <t>E[rent] @ T:</t>
  </si>
  <si>
    <t>==&gt; E[V] @ T:</t>
  </si>
  <si>
    <t>Dvlpt CapR Prem</t>
  </si>
  <si>
    <t>DvlptCapRPrem DataTable:</t>
  </si>
  <si>
    <t>Constr Dur (T):</t>
  </si>
  <si>
    <t>DvlptOCC(E[rC]):</t>
  </si>
  <si>
    <t>Max Affordbl Land Price:</t>
  </si>
  <si>
    <t>Land FV Fraction (LP/E[V]@T):</t>
  </si>
  <si>
    <t>ConstrCost @ T (undisc)</t>
  </si>
  <si>
    <t>Inputs (exogenous):</t>
  </si>
  <si>
    <t>Outputs (derived):</t>
  </si>
  <si>
    <t>Required "Enhanced Cap Rate on Cost" simple rule of thumb corresponding to basic develpt project economic assumptions (simple project)…</t>
  </si>
</sst>
</file>

<file path=xl/styles.xml><?xml version="1.0" encoding="utf-8"?>
<styleSheet xmlns="http://schemas.openxmlformats.org/spreadsheetml/2006/main">
  <numFmts count="16">
    <numFmt numFmtId="5" formatCode="&quot;$&quot;#,##0_);\(&quot;$&quot;#,##0\)"/>
    <numFmt numFmtId="6" formatCode="&quot;$&quot;#,##0_);[Red]\(&quot;$&quot;#,##0\)"/>
    <numFmt numFmtId="7" formatCode="&quot;$&quot;#,##0.00_);\(&quot;$&quot;#,##0.00\)"/>
    <numFmt numFmtId="164" formatCode="General_)"/>
    <numFmt numFmtId="165" formatCode="&quot;$&quot;#,##0.00"/>
    <numFmt numFmtId="166" formatCode="&quot;$&quot;#,##0.0000"/>
    <numFmt numFmtId="167" formatCode="&quot;$&quot;#,##0"/>
    <numFmt numFmtId="168" formatCode="0.0000"/>
    <numFmt numFmtId="169" formatCode="0.00000"/>
    <numFmt numFmtId="170" formatCode="0.000000"/>
    <numFmt numFmtId="171" formatCode="0.0000%"/>
    <numFmt numFmtId="172" formatCode="0.0%"/>
    <numFmt numFmtId="173" formatCode="0.000"/>
    <numFmt numFmtId="174" formatCode="&quot;$&quot;#,##0.000"/>
    <numFmt numFmtId="175" formatCode="0_);[Red]\(0\)"/>
    <numFmt numFmtId="176" formatCode="#,##0.000_);[Red]\(#,##0.000\)"/>
  </numFmts>
  <fonts count="26">
    <font>
      <sz val="12"/>
      <name val="Arial MT"/>
    </font>
    <font>
      <sz val="10"/>
      <name val="Arial"/>
      <family val="2"/>
    </font>
    <font>
      <sz val="8"/>
      <name val="Arial MT"/>
    </font>
    <font>
      <b/>
      <sz val="12"/>
      <name val="Arial MT"/>
    </font>
    <font>
      <sz val="12"/>
      <name val="Times New Roman"/>
      <family val="1"/>
    </font>
    <font>
      <i/>
      <sz val="12"/>
      <name val="Times New Roman"/>
      <family val="1"/>
    </font>
    <font>
      <b/>
      <i/>
      <sz val="12"/>
      <name val="Arial MT"/>
    </font>
    <font>
      <sz val="12"/>
      <name val="Arial MT"/>
    </font>
    <font>
      <i/>
      <sz val="12"/>
      <name val="Arial MT"/>
    </font>
    <font>
      <sz val="9"/>
      <name val="Arial MT"/>
    </font>
    <font>
      <b/>
      <sz val="12"/>
      <name val="Arial"/>
      <family val="2"/>
    </font>
    <font>
      <b/>
      <sz val="12"/>
      <name val="Times New Roman"/>
      <family val="1"/>
    </font>
    <font>
      <b/>
      <sz val="12"/>
      <color indexed="10"/>
      <name val="Arial MT"/>
    </font>
    <font>
      <sz val="8"/>
      <name val="Arial"/>
      <family val="2"/>
    </font>
    <font>
      <b/>
      <sz val="10"/>
      <name val="Arial"/>
      <family val="2"/>
    </font>
    <font>
      <b/>
      <i/>
      <sz val="10"/>
      <name val="Arial"/>
      <family val="2"/>
    </font>
    <font>
      <sz val="10"/>
      <name val="Arial"/>
      <family val="2"/>
    </font>
    <font>
      <sz val="12"/>
      <color indexed="10"/>
      <name val="Arial MT"/>
    </font>
    <font>
      <sz val="10"/>
      <color indexed="12"/>
      <name val="Arial"/>
      <family val="2"/>
    </font>
    <font>
      <sz val="12"/>
      <color theme="0" tint="-0.34998626667073579"/>
      <name val="Arial MT"/>
    </font>
    <font>
      <sz val="12"/>
      <color rgb="FF0000FF"/>
      <name val="Arial MT"/>
    </font>
    <font>
      <sz val="9"/>
      <color indexed="81"/>
      <name val="Tahoma"/>
      <family val="2"/>
    </font>
    <font>
      <b/>
      <sz val="9"/>
      <color indexed="81"/>
      <name val="Tahoma"/>
      <family val="2"/>
    </font>
    <font>
      <sz val="12"/>
      <color rgb="FFC00000"/>
      <name val="Arial MT"/>
    </font>
    <font>
      <sz val="12"/>
      <color theme="9" tint="-0.249977111117893"/>
      <name val="Arial MT"/>
    </font>
    <font>
      <b/>
      <sz val="12"/>
      <color theme="9" tint="-0.249977111117893"/>
      <name val="Arial MT"/>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5"/>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rgb="FFFFFFCC"/>
        <bgColor indexed="64"/>
      </patternFill>
    </fill>
  </fills>
  <borders count="25">
    <border>
      <left/>
      <right/>
      <top/>
      <bottom/>
      <diagonal/>
    </border>
    <border>
      <left/>
      <right/>
      <top/>
      <bottom style="thin">
        <color indexed="64"/>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s>
  <cellStyleXfs count="4">
    <xf numFmtId="164" fontId="0" fillId="0" borderId="0"/>
    <xf numFmtId="0" fontId="1" fillId="0" borderId="0"/>
    <xf numFmtId="164" fontId="7" fillId="0" borderId="0"/>
    <xf numFmtId="0" fontId="1" fillId="0" borderId="0"/>
  </cellStyleXfs>
  <cellXfs count="398">
    <xf numFmtId="164" fontId="0" fillId="0" borderId="0" xfId="0"/>
    <xf numFmtId="164" fontId="3" fillId="0" borderId="0" xfId="0" applyFont="1"/>
    <xf numFmtId="2" fontId="0" fillId="0" borderId="0" xfId="0" applyNumberFormat="1"/>
    <xf numFmtId="164" fontId="0" fillId="0" borderId="0" xfId="0" applyAlignment="1">
      <alignment horizontal="right"/>
    </xf>
    <xf numFmtId="169" fontId="0" fillId="0" borderId="0" xfId="0" applyNumberFormat="1"/>
    <xf numFmtId="1" fontId="0" fillId="0" borderId="0" xfId="0" applyNumberFormat="1"/>
    <xf numFmtId="164" fontId="0" fillId="0" borderId="1" xfId="0" applyBorder="1"/>
    <xf numFmtId="164" fontId="0" fillId="0" borderId="0" xfId="0" applyFill="1"/>
    <xf numFmtId="2" fontId="0" fillId="0" borderId="2" xfId="0" applyNumberFormat="1" applyBorder="1"/>
    <xf numFmtId="164" fontId="6" fillId="2" borderId="3" xfId="0" applyFont="1" applyFill="1" applyBorder="1"/>
    <xf numFmtId="164" fontId="0" fillId="0" borderId="0" xfId="0" applyBorder="1"/>
    <xf numFmtId="164" fontId="0" fillId="2" borderId="4" xfId="0" applyFill="1" applyBorder="1"/>
    <xf numFmtId="164" fontId="0" fillId="2" borderId="5" xfId="0" applyFill="1" applyBorder="1"/>
    <xf numFmtId="164" fontId="0" fillId="2" borderId="6" xfId="0" applyFill="1" applyBorder="1"/>
    <xf numFmtId="164" fontId="0" fillId="0" borderId="0" xfId="0" applyFill="1" applyBorder="1"/>
    <xf numFmtId="10" fontId="0" fillId="0" borderId="0" xfId="0" applyNumberFormat="1" applyFill="1" applyBorder="1"/>
    <xf numFmtId="164" fontId="0" fillId="0" borderId="0" xfId="0" applyBorder="1" applyAlignment="1">
      <alignment horizontal="right"/>
    </xf>
    <xf numFmtId="2" fontId="0" fillId="0" borderId="0" xfId="0" applyNumberFormat="1" applyFill="1"/>
    <xf numFmtId="10" fontId="0" fillId="0" borderId="0" xfId="0" applyNumberFormat="1" applyFill="1"/>
    <xf numFmtId="165" fontId="0" fillId="0" borderId="0" xfId="0" applyNumberFormat="1" applyFill="1"/>
    <xf numFmtId="164" fontId="4" fillId="0" borderId="0" xfId="0" applyFont="1" applyAlignment="1">
      <alignment horizontal="center"/>
    </xf>
    <xf numFmtId="164" fontId="5" fillId="0" borderId="0" xfId="0" applyFont="1"/>
    <xf numFmtId="164" fontId="4" fillId="0" borderId="0" xfId="0" applyFont="1"/>
    <xf numFmtId="2" fontId="4" fillId="0" borderId="0" xfId="0" applyNumberFormat="1" applyFont="1"/>
    <xf numFmtId="2" fontId="4" fillId="0" borderId="0" xfId="0" applyNumberFormat="1" applyFont="1" applyFill="1"/>
    <xf numFmtId="10" fontId="4" fillId="0" borderId="0" xfId="0" applyNumberFormat="1" applyFont="1" applyFill="1"/>
    <xf numFmtId="164" fontId="4" fillId="0" borderId="0" xfId="0" applyFont="1" applyAlignment="1">
      <alignment horizontal="right"/>
    </xf>
    <xf numFmtId="164" fontId="0" fillId="0" borderId="0" xfId="0" applyFill="1" applyAlignment="1">
      <alignment horizontal="right"/>
    </xf>
    <xf numFmtId="2" fontId="0" fillId="0" borderId="0" xfId="0" applyNumberFormat="1" applyBorder="1"/>
    <xf numFmtId="2" fontId="0" fillId="0" borderId="0" xfId="0" applyNumberFormat="1" applyFill="1" applyBorder="1"/>
    <xf numFmtId="164" fontId="0" fillId="0" borderId="0" xfId="0" applyAlignment="1">
      <alignment horizontal="left"/>
    </xf>
    <xf numFmtId="169" fontId="4" fillId="0" borderId="0" xfId="0" applyNumberFormat="1" applyFont="1"/>
    <xf numFmtId="164" fontId="3" fillId="0" borderId="0" xfId="0" quotePrefix="1" applyFont="1" applyAlignment="1">
      <alignment horizontal="left"/>
    </xf>
    <xf numFmtId="164" fontId="0" fillId="0" borderId="0" xfId="0" applyAlignment="1"/>
    <xf numFmtId="164" fontId="3" fillId="0" borderId="0" xfId="0" applyFont="1" applyAlignment="1">
      <alignment horizontal="left"/>
    </xf>
    <xf numFmtId="164" fontId="6" fillId="0" borderId="0" xfId="0" applyFont="1" applyAlignment="1">
      <alignment horizontal="right"/>
    </xf>
    <xf numFmtId="10" fontId="0" fillId="0" borderId="0" xfId="0" applyNumberFormat="1" applyAlignment="1"/>
    <xf numFmtId="10" fontId="0" fillId="0" borderId="0" xfId="0" applyNumberFormat="1" applyAlignment="1">
      <alignment horizontal="right"/>
    </xf>
    <xf numFmtId="10" fontId="0" fillId="0" borderId="0" xfId="0" quotePrefix="1" applyNumberFormat="1" applyAlignment="1">
      <alignment horizontal="left"/>
    </xf>
    <xf numFmtId="5" fontId="0" fillId="0" borderId="0" xfId="0" applyNumberFormat="1" applyAlignment="1" applyProtection="1"/>
    <xf numFmtId="7" fontId="0" fillId="0" borderId="0" xfId="0" applyNumberFormat="1" applyAlignment="1" applyProtection="1">
      <alignment horizontal="right"/>
    </xf>
    <xf numFmtId="5" fontId="0" fillId="0" borderId="0" xfId="0" applyNumberFormat="1" applyAlignment="1" applyProtection="1">
      <alignment horizontal="right"/>
    </xf>
    <xf numFmtId="10" fontId="0" fillId="0" borderId="0" xfId="0" applyNumberFormat="1" applyAlignment="1" applyProtection="1"/>
    <xf numFmtId="10" fontId="0" fillId="0" borderId="0" xfId="0" applyNumberFormat="1" applyAlignment="1" applyProtection="1">
      <alignment horizontal="right"/>
    </xf>
    <xf numFmtId="2" fontId="0" fillId="0" borderId="0" xfId="0" applyNumberFormat="1" applyAlignment="1"/>
    <xf numFmtId="2" fontId="0" fillId="0" borderId="0" xfId="0" quotePrefix="1" applyNumberFormat="1" applyAlignment="1">
      <alignment horizontal="left"/>
    </xf>
    <xf numFmtId="2" fontId="0" fillId="0" borderId="0" xfId="0" applyNumberFormat="1" applyAlignment="1">
      <alignment horizontal="right"/>
    </xf>
    <xf numFmtId="4" fontId="0" fillId="0" borderId="0" xfId="0" applyNumberFormat="1" applyAlignment="1"/>
    <xf numFmtId="166" fontId="0" fillId="0" borderId="0" xfId="0" applyNumberFormat="1" applyAlignment="1">
      <alignment horizontal="right"/>
    </xf>
    <xf numFmtId="167" fontId="0" fillId="0" borderId="0" xfId="0" applyNumberFormat="1" applyAlignment="1">
      <alignment horizontal="right"/>
    </xf>
    <xf numFmtId="9" fontId="0" fillId="0" borderId="0" xfId="0" applyNumberFormat="1" applyAlignment="1"/>
    <xf numFmtId="167" fontId="0" fillId="0" borderId="0" xfId="0" applyNumberFormat="1" applyAlignment="1"/>
    <xf numFmtId="166" fontId="0" fillId="0" borderId="0" xfId="0" applyNumberFormat="1" applyAlignment="1" applyProtection="1">
      <alignment horizontal="right"/>
    </xf>
    <xf numFmtId="167" fontId="0" fillId="0" borderId="0" xfId="0" applyNumberFormat="1" applyAlignment="1" applyProtection="1"/>
    <xf numFmtId="164" fontId="0" fillId="0" borderId="0" xfId="0" quotePrefix="1" applyAlignment="1">
      <alignment horizontal="right"/>
    </xf>
    <xf numFmtId="10" fontId="4" fillId="0" borderId="0" xfId="0" applyNumberFormat="1" applyFont="1" applyAlignment="1">
      <alignment horizontal="right"/>
    </xf>
    <xf numFmtId="172" fontId="4" fillId="0" borderId="0" xfId="0" applyNumberFormat="1" applyFont="1"/>
    <xf numFmtId="164" fontId="4" fillId="0" borderId="0" xfId="0" applyFont="1" applyFill="1"/>
    <xf numFmtId="165" fontId="4" fillId="0" borderId="0" xfId="0" applyNumberFormat="1" applyFont="1"/>
    <xf numFmtId="164" fontId="4" fillId="0" borderId="2" xfId="0" applyFont="1" applyBorder="1"/>
    <xf numFmtId="2" fontId="4" fillId="0" borderId="2" xfId="0" applyNumberFormat="1" applyFont="1" applyBorder="1"/>
    <xf numFmtId="164" fontId="4" fillId="0" borderId="0" xfId="0" applyFont="1" applyBorder="1"/>
    <xf numFmtId="2" fontId="4" fillId="0" borderId="0" xfId="0" applyNumberFormat="1" applyFont="1" applyBorder="1"/>
    <xf numFmtId="164" fontId="5" fillId="0" borderId="1" xfId="0" applyFont="1" applyBorder="1"/>
    <xf numFmtId="165" fontId="4" fillId="0" borderId="1" xfId="0" applyNumberFormat="1" applyFont="1" applyBorder="1"/>
    <xf numFmtId="164" fontId="4" fillId="0" borderId="1" xfId="0" applyFont="1" applyBorder="1"/>
    <xf numFmtId="164" fontId="4" fillId="0" borderId="0" xfId="0" applyFont="1" applyAlignment="1">
      <alignment horizontal="left"/>
    </xf>
    <xf numFmtId="165" fontId="4" fillId="3" borderId="0" xfId="0" applyNumberFormat="1" applyFont="1" applyFill="1" applyBorder="1"/>
    <xf numFmtId="165" fontId="4" fillId="4" borderId="7" xfId="0" applyNumberFormat="1" applyFont="1" applyFill="1" applyBorder="1"/>
    <xf numFmtId="172" fontId="0" fillId="0" borderId="0" xfId="0" applyNumberFormat="1"/>
    <xf numFmtId="173" fontId="0" fillId="0" borderId="0" xfId="0" applyNumberFormat="1"/>
    <xf numFmtId="10" fontId="0" fillId="0" borderId="0" xfId="0" applyNumberFormat="1" applyFill="1" applyAlignment="1"/>
    <xf numFmtId="164" fontId="0" fillId="0" borderId="0" xfId="0" applyFill="1" applyAlignment="1">
      <alignment horizontal="left"/>
    </xf>
    <xf numFmtId="164" fontId="0" fillId="0" borderId="0" xfId="0" applyFill="1" applyAlignment="1"/>
    <xf numFmtId="168" fontId="0" fillId="0" borderId="0" xfId="0" applyNumberFormat="1" applyFill="1" applyBorder="1"/>
    <xf numFmtId="169" fontId="0" fillId="0" borderId="0" xfId="0" applyNumberFormat="1" applyBorder="1"/>
    <xf numFmtId="169" fontId="0" fillId="0" borderId="0" xfId="0" applyNumberFormat="1" applyFill="1" applyBorder="1"/>
    <xf numFmtId="10" fontId="0" fillId="2" borderId="8" xfId="0" applyNumberFormat="1" applyFill="1" applyBorder="1"/>
    <xf numFmtId="164" fontId="0" fillId="5" borderId="4" xfId="0" applyFill="1" applyBorder="1"/>
    <xf numFmtId="164" fontId="0" fillId="5" borderId="5" xfId="0" applyFill="1" applyBorder="1"/>
    <xf numFmtId="168" fontId="0" fillId="5" borderId="8" xfId="0" applyNumberFormat="1" applyFill="1" applyBorder="1"/>
    <xf numFmtId="168" fontId="0" fillId="5" borderId="8" xfId="0" applyNumberFormat="1" applyFill="1" applyBorder="1" applyAlignment="1">
      <alignment horizontal="right"/>
    </xf>
    <xf numFmtId="164" fontId="0" fillId="5" borderId="8" xfId="0" applyFill="1" applyBorder="1" applyAlignment="1"/>
    <xf numFmtId="10" fontId="0" fillId="5" borderId="8" xfId="0" applyNumberFormat="1" applyFill="1" applyBorder="1"/>
    <xf numFmtId="165" fontId="0" fillId="2" borderId="8" xfId="0" applyNumberFormat="1" applyFill="1" applyBorder="1"/>
    <xf numFmtId="168" fontId="0" fillId="2" borderId="8" xfId="0" applyNumberFormat="1" applyFill="1" applyBorder="1"/>
    <xf numFmtId="165" fontId="3" fillId="5" borderId="9" xfId="0" applyNumberFormat="1" applyFont="1" applyFill="1" applyBorder="1"/>
    <xf numFmtId="9" fontId="0" fillId="2" borderId="8" xfId="0" applyNumberFormat="1" applyFill="1" applyBorder="1"/>
    <xf numFmtId="164" fontId="0" fillId="2" borderId="3" xfId="0" applyFill="1" applyBorder="1"/>
    <xf numFmtId="164" fontId="0" fillId="2" borderId="10" xfId="0" applyFill="1" applyBorder="1"/>
    <xf numFmtId="164" fontId="6" fillId="0" borderId="0" xfId="0" applyFont="1" applyFill="1" applyBorder="1"/>
    <xf numFmtId="10" fontId="0" fillId="5" borderId="8" xfId="0" applyNumberFormat="1" applyFill="1" applyBorder="1" applyAlignment="1">
      <alignment horizontal="right"/>
    </xf>
    <xf numFmtId="2" fontId="0" fillId="5" borderId="8" xfId="0" applyNumberFormat="1" applyFill="1" applyBorder="1" applyAlignment="1">
      <alignment horizontal="right"/>
    </xf>
    <xf numFmtId="164" fontId="4" fillId="3" borderId="0" xfId="0" applyFont="1" applyFill="1" applyBorder="1" applyAlignment="1">
      <alignment horizontal="right"/>
    </xf>
    <xf numFmtId="10" fontId="4" fillId="3" borderId="0" xfId="0" applyNumberFormat="1" applyFont="1" applyFill="1" applyBorder="1"/>
    <xf numFmtId="165" fontId="4" fillId="0" borderId="0" xfId="0" applyNumberFormat="1" applyFont="1" applyBorder="1"/>
    <xf numFmtId="1" fontId="0" fillId="0" borderId="0" xfId="0" applyNumberFormat="1" applyBorder="1"/>
    <xf numFmtId="165" fontId="4" fillId="3" borderId="0" xfId="0" applyNumberFormat="1" applyFont="1" applyFill="1" applyBorder="1" applyAlignment="1">
      <alignment horizontal="right"/>
    </xf>
    <xf numFmtId="165" fontId="4" fillId="3" borderId="0" xfId="0" applyNumberFormat="1" applyFont="1" applyFill="1" applyBorder="1" applyAlignment="1">
      <alignment horizontal="left"/>
    </xf>
    <xf numFmtId="10" fontId="4" fillId="3" borderId="0" xfId="0" applyNumberFormat="1" applyFont="1" applyFill="1" applyBorder="1" applyAlignment="1">
      <alignment horizontal="left"/>
    </xf>
    <xf numFmtId="164" fontId="4" fillId="3" borderId="5" xfId="0" applyFont="1" applyFill="1" applyBorder="1"/>
    <xf numFmtId="164" fontId="4" fillId="3" borderId="5" xfId="0" applyFont="1" applyFill="1" applyBorder="1" applyAlignment="1">
      <alignment horizontal="right"/>
    </xf>
    <xf numFmtId="165" fontId="4" fillId="3" borderId="5" xfId="0" applyNumberFormat="1" applyFont="1" applyFill="1" applyBorder="1"/>
    <xf numFmtId="165" fontId="4" fillId="3" borderId="8" xfId="0" applyNumberFormat="1" applyFont="1" applyFill="1" applyBorder="1" applyAlignment="1">
      <alignment horizontal="right"/>
    </xf>
    <xf numFmtId="164" fontId="6" fillId="3" borderId="3" xfId="0" applyFont="1" applyFill="1" applyBorder="1"/>
    <xf numFmtId="164" fontId="0" fillId="3" borderId="10" xfId="0" applyFill="1" applyBorder="1"/>
    <xf numFmtId="164" fontId="0" fillId="3" borderId="4" xfId="0" applyFill="1" applyBorder="1"/>
    <xf numFmtId="164" fontId="0" fillId="3" borderId="0" xfId="0" applyFill="1" applyBorder="1"/>
    <xf numFmtId="164" fontId="0" fillId="3" borderId="8" xfId="0" applyFill="1" applyBorder="1"/>
    <xf numFmtId="165" fontId="0" fillId="3" borderId="8" xfId="0" applyNumberFormat="1" applyFill="1" applyBorder="1"/>
    <xf numFmtId="164" fontId="0" fillId="3" borderId="11" xfId="0" applyFill="1" applyBorder="1"/>
    <xf numFmtId="164" fontId="0" fillId="3" borderId="12" xfId="0" applyFill="1" applyBorder="1"/>
    <xf numFmtId="169" fontId="0" fillId="3" borderId="6" xfId="0" quotePrefix="1" applyNumberFormat="1" applyFill="1" applyBorder="1" applyAlignment="1">
      <alignment horizontal="left"/>
    </xf>
    <xf numFmtId="165" fontId="4" fillId="3" borderId="7" xfId="0" applyNumberFormat="1" applyFont="1" applyFill="1" applyBorder="1" applyAlignment="1">
      <alignment horizontal="left"/>
    </xf>
    <xf numFmtId="165" fontId="4" fillId="3" borderId="13" xfId="0" applyNumberFormat="1" applyFont="1" applyFill="1" applyBorder="1" applyAlignment="1">
      <alignment horizontal="right"/>
    </xf>
    <xf numFmtId="165" fontId="4" fillId="3" borderId="14" xfId="0" applyNumberFormat="1" applyFont="1" applyFill="1" applyBorder="1" applyAlignment="1">
      <alignment horizontal="right"/>
    </xf>
    <xf numFmtId="165" fontId="4" fillId="3" borderId="15" xfId="0" applyNumberFormat="1" applyFont="1" applyFill="1" applyBorder="1" applyAlignment="1">
      <alignment horizontal="right"/>
    </xf>
    <xf numFmtId="165" fontId="4" fillId="3" borderId="16" xfId="0" applyNumberFormat="1" applyFont="1" applyFill="1" applyBorder="1" applyAlignment="1">
      <alignment horizontal="right"/>
    </xf>
    <xf numFmtId="165" fontId="4" fillId="3" borderId="17" xfId="0" applyNumberFormat="1" applyFont="1" applyFill="1" applyBorder="1"/>
    <xf numFmtId="165" fontId="4" fillId="3" borderId="1" xfId="0" applyNumberFormat="1" applyFont="1" applyFill="1" applyBorder="1"/>
    <xf numFmtId="165" fontId="4" fillId="3" borderId="18" xfId="0" applyNumberFormat="1" applyFont="1" applyFill="1" applyBorder="1" applyAlignment="1">
      <alignment horizontal="right"/>
    </xf>
    <xf numFmtId="1" fontId="0" fillId="0" borderId="0" xfId="0" applyNumberFormat="1" applyFill="1" applyBorder="1"/>
    <xf numFmtId="164" fontId="0" fillId="0" borderId="0" xfId="0" quotePrefix="1" applyFill="1" applyBorder="1"/>
    <xf numFmtId="164" fontId="0" fillId="2" borderId="0" xfId="0" applyFill="1" applyBorder="1"/>
    <xf numFmtId="164" fontId="0" fillId="5" borderId="0" xfId="0" applyFill="1" applyBorder="1"/>
    <xf numFmtId="164" fontId="0" fillId="5" borderId="0" xfId="0" applyFill="1" applyBorder="1" applyAlignment="1">
      <alignment horizontal="right"/>
    </xf>
    <xf numFmtId="164" fontId="9" fillId="0" borderId="0" xfId="0" applyFont="1" applyAlignment="1">
      <alignment horizontal="left"/>
    </xf>
    <xf numFmtId="10" fontId="0" fillId="0" borderId="0" xfId="0" applyNumberFormat="1" applyAlignment="1">
      <alignment horizontal="left"/>
    </xf>
    <xf numFmtId="164" fontId="6" fillId="5" borderId="10" xfId="0" applyFont="1" applyFill="1" applyBorder="1"/>
    <xf numFmtId="164" fontId="0" fillId="5" borderId="0" xfId="0" applyFill="1" applyBorder="1" applyAlignment="1">
      <alignment horizontal="left"/>
    </xf>
    <xf numFmtId="164" fontId="3" fillId="5" borderId="19" xfId="0" applyFont="1" applyFill="1" applyBorder="1"/>
    <xf numFmtId="165" fontId="4" fillId="4" borderId="20" xfId="0" applyNumberFormat="1" applyFont="1" applyFill="1" applyBorder="1"/>
    <xf numFmtId="164" fontId="0" fillId="2" borderId="8" xfId="0" applyFill="1" applyBorder="1"/>
    <xf numFmtId="165" fontId="0" fillId="2" borderId="12" xfId="0" applyNumberFormat="1" applyFill="1" applyBorder="1"/>
    <xf numFmtId="164" fontId="0" fillId="2" borderId="0" xfId="0" quotePrefix="1" applyFill="1" applyBorder="1"/>
    <xf numFmtId="164" fontId="8" fillId="2" borderId="5" xfId="0" applyFont="1" applyFill="1" applyBorder="1"/>
    <xf numFmtId="164" fontId="3" fillId="0" borderId="0" xfId="2" applyFont="1"/>
    <xf numFmtId="164" fontId="7" fillId="0" borderId="0" xfId="2"/>
    <xf numFmtId="164" fontId="7" fillId="0" borderId="0" xfId="2" applyFill="1" applyBorder="1"/>
    <xf numFmtId="164" fontId="6" fillId="2" borderId="3" xfId="2" applyFont="1" applyFill="1" applyBorder="1"/>
    <xf numFmtId="164" fontId="7" fillId="2" borderId="10" xfId="2" applyFill="1" applyBorder="1"/>
    <xf numFmtId="164" fontId="6" fillId="5" borderId="3" xfId="2" applyFont="1" applyFill="1" applyBorder="1"/>
    <xf numFmtId="164" fontId="7" fillId="5" borderId="4" xfId="2" applyFill="1" applyBorder="1"/>
    <xf numFmtId="164" fontId="7" fillId="5" borderId="3" xfId="2" applyFill="1" applyBorder="1"/>
    <xf numFmtId="164" fontId="7" fillId="5" borderId="10" xfId="2" applyFill="1" applyBorder="1"/>
    <xf numFmtId="164" fontId="7" fillId="2" borderId="5" xfId="2" applyFill="1" applyBorder="1"/>
    <xf numFmtId="168" fontId="7" fillId="2" borderId="0" xfId="2" applyNumberFormat="1" applyFill="1" applyBorder="1"/>
    <xf numFmtId="164" fontId="7" fillId="5" borderId="5" xfId="2" applyFill="1" applyBorder="1"/>
    <xf numFmtId="164" fontId="7" fillId="5" borderId="8" xfId="2" applyFill="1" applyBorder="1"/>
    <xf numFmtId="164" fontId="7" fillId="5" borderId="0" xfId="2" applyFill="1" applyBorder="1"/>
    <xf numFmtId="164" fontId="7" fillId="5" borderId="0" xfId="2" applyFill="1" applyBorder="1" applyAlignment="1">
      <alignment horizontal="right"/>
    </xf>
    <xf numFmtId="164" fontId="7" fillId="5" borderId="8" xfId="2" applyFill="1" applyBorder="1" applyAlignment="1">
      <alignment horizontal="right"/>
    </xf>
    <xf numFmtId="10" fontId="7" fillId="2" borderId="0" xfId="2" applyNumberFormat="1" applyFill="1" applyBorder="1"/>
    <xf numFmtId="10" fontId="7" fillId="5" borderId="8" xfId="2" applyNumberFormat="1" applyFill="1" applyBorder="1"/>
    <xf numFmtId="10" fontId="7" fillId="5" borderId="0" xfId="2" applyNumberFormat="1" applyFill="1" applyBorder="1"/>
    <xf numFmtId="164" fontId="7" fillId="0" borderId="0" xfId="2" applyFill="1"/>
    <xf numFmtId="164" fontId="7" fillId="2" borderId="0" xfId="2" applyFill="1" applyBorder="1"/>
    <xf numFmtId="9" fontId="7" fillId="2" borderId="0" xfId="2" applyNumberFormat="1" applyFill="1" applyBorder="1"/>
    <xf numFmtId="167" fontId="7" fillId="2" borderId="0" xfId="2" applyNumberFormat="1" applyFill="1" applyBorder="1"/>
    <xf numFmtId="164" fontId="7" fillId="5" borderId="0" xfId="2" applyFill="1" applyBorder="1" applyAlignment="1"/>
    <xf numFmtId="168" fontId="7" fillId="5" borderId="8" xfId="2" applyNumberFormat="1" applyFill="1" applyBorder="1"/>
    <xf numFmtId="164" fontId="7" fillId="5" borderId="8" xfId="2" quotePrefix="1" applyFill="1" applyBorder="1"/>
    <xf numFmtId="164" fontId="7" fillId="5" borderId="5" xfId="2" applyFill="1" applyBorder="1" applyAlignment="1">
      <alignment horizontal="right"/>
    </xf>
    <xf numFmtId="168" fontId="7" fillId="5" borderId="8" xfId="2" applyNumberFormat="1" applyFill="1" applyBorder="1" applyAlignment="1">
      <alignment horizontal="right"/>
    </xf>
    <xf numFmtId="165" fontId="7" fillId="0" borderId="0" xfId="2" applyNumberFormat="1" applyFill="1" applyBorder="1"/>
    <xf numFmtId="164" fontId="7" fillId="5" borderId="6" xfId="2" applyFill="1" applyBorder="1" applyAlignment="1">
      <alignment horizontal="right"/>
    </xf>
    <xf numFmtId="168" fontId="7" fillId="5" borderId="12" xfId="2" applyNumberFormat="1" applyFill="1" applyBorder="1" applyAlignment="1"/>
    <xf numFmtId="10" fontId="7" fillId="5" borderId="5" xfId="2" applyNumberFormat="1" applyFill="1" applyBorder="1"/>
    <xf numFmtId="164" fontId="7" fillId="2" borderId="6" xfId="2" applyFill="1" applyBorder="1"/>
    <xf numFmtId="164" fontId="7" fillId="2" borderId="12" xfId="2" applyFill="1" applyBorder="1"/>
    <xf numFmtId="164" fontId="3" fillId="5" borderId="11" xfId="2" applyFont="1" applyFill="1" applyBorder="1"/>
    <xf numFmtId="167" fontId="3" fillId="5" borderId="12" xfId="2" applyNumberFormat="1" applyFont="1" applyFill="1" applyBorder="1"/>
    <xf numFmtId="164" fontId="7" fillId="5" borderId="6" xfId="2" applyFill="1" applyBorder="1"/>
    <xf numFmtId="164" fontId="7" fillId="5" borderId="11" xfId="2" applyFill="1" applyBorder="1"/>
    <xf numFmtId="164" fontId="7" fillId="5" borderId="12" xfId="2" applyFill="1" applyBorder="1"/>
    <xf numFmtId="164" fontId="3" fillId="0" borderId="0" xfId="2" applyFont="1" applyFill="1" applyBorder="1"/>
    <xf numFmtId="165" fontId="3" fillId="0" borderId="0" xfId="2" applyNumberFormat="1" applyFont="1" applyFill="1" applyBorder="1"/>
    <xf numFmtId="164" fontId="3" fillId="5" borderId="14" xfId="2" applyFont="1" applyFill="1" applyBorder="1"/>
    <xf numFmtId="164" fontId="5" fillId="5" borderId="15" xfId="2" applyFont="1" applyFill="1" applyBorder="1"/>
    <xf numFmtId="164" fontId="7" fillId="5" borderId="15" xfId="2" applyFill="1" applyBorder="1"/>
    <xf numFmtId="164" fontId="3" fillId="5" borderId="16" xfId="2" applyFont="1" applyFill="1" applyBorder="1" applyAlignment="1">
      <alignment horizontal="right"/>
    </xf>
    <xf numFmtId="164" fontId="7" fillId="6" borderId="0" xfId="2" applyFill="1"/>
    <xf numFmtId="164" fontId="7" fillId="5" borderId="2" xfId="2" applyFill="1" applyBorder="1"/>
    <xf numFmtId="164" fontId="4" fillId="5" borderId="0" xfId="2" applyFont="1" applyFill="1" applyBorder="1"/>
    <xf numFmtId="164" fontId="4" fillId="5" borderId="21" xfId="2" applyFont="1" applyFill="1" applyBorder="1"/>
    <xf numFmtId="164" fontId="4" fillId="0" borderId="0" xfId="2" applyFont="1"/>
    <xf numFmtId="164" fontId="7" fillId="0" borderId="0" xfId="2" applyFill="1" applyBorder="1" applyAlignment="1">
      <alignment horizontal="right"/>
    </xf>
    <xf numFmtId="10" fontId="7" fillId="0" borderId="0" xfId="2" applyNumberFormat="1" applyFill="1" applyBorder="1" applyAlignment="1">
      <alignment horizontal="center"/>
    </xf>
    <xf numFmtId="10" fontId="7" fillId="0" borderId="0" xfId="2" applyNumberFormat="1" applyFill="1" applyBorder="1"/>
    <xf numFmtId="1" fontId="5" fillId="5" borderId="1" xfId="2" applyNumberFormat="1" applyFont="1" applyFill="1" applyBorder="1" applyAlignment="1">
      <alignment horizontal="right"/>
    </xf>
    <xf numFmtId="1" fontId="4" fillId="5" borderId="1" xfId="2" applyNumberFormat="1" applyFont="1" applyFill="1" applyBorder="1"/>
    <xf numFmtId="1" fontId="4" fillId="5" borderId="21" xfId="2" applyNumberFormat="1" applyFont="1" applyFill="1" applyBorder="1"/>
    <xf numFmtId="165" fontId="4" fillId="0" borderId="0" xfId="2" applyNumberFormat="1" applyFont="1" applyBorder="1"/>
    <xf numFmtId="164" fontId="4" fillId="5" borderId="2" xfId="2" applyFont="1" applyFill="1" applyBorder="1" applyAlignment="1">
      <alignment horizontal="center"/>
    </xf>
    <xf numFmtId="1" fontId="4" fillId="5" borderId="0" xfId="2" applyNumberFormat="1" applyFont="1" applyFill="1" applyBorder="1"/>
    <xf numFmtId="164" fontId="4" fillId="0" borderId="0" xfId="2" applyFont="1" applyBorder="1"/>
    <xf numFmtId="2" fontId="4" fillId="0" borderId="0" xfId="2" applyNumberFormat="1" applyFont="1"/>
    <xf numFmtId="9" fontId="7" fillId="0" borderId="0" xfId="2" applyNumberFormat="1" applyFill="1" applyBorder="1"/>
    <xf numFmtId="167" fontId="7" fillId="6" borderId="0" xfId="2" applyNumberFormat="1" applyFill="1" applyAlignment="1">
      <alignment horizontal="left"/>
    </xf>
    <xf numFmtId="10" fontId="7" fillId="6" borderId="0" xfId="2" applyNumberFormat="1" applyFill="1"/>
    <xf numFmtId="1" fontId="4" fillId="5" borderId="0" xfId="2" applyNumberFormat="1" applyFont="1" applyFill="1" applyBorder="1" applyAlignment="1">
      <alignment horizontal="center"/>
    </xf>
    <xf numFmtId="168" fontId="7" fillId="6" borderId="0" xfId="2" applyNumberFormat="1" applyFill="1" applyAlignment="1">
      <alignment horizontal="left"/>
    </xf>
    <xf numFmtId="1" fontId="4" fillId="5" borderId="21" xfId="2" applyNumberFormat="1" applyFont="1" applyFill="1" applyBorder="1" applyAlignment="1">
      <alignment horizontal="left"/>
    </xf>
    <xf numFmtId="164" fontId="7" fillId="0" borderId="0" xfId="2" applyBorder="1"/>
    <xf numFmtId="164" fontId="4" fillId="5" borderId="17" xfId="2" applyFont="1" applyFill="1" applyBorder="1" applyAlignment="1">
      <alignment horizontal="center"/>
    </xf>
    <xf numFmtId="7" fontId="4" fillId="5" borderId="1" xfId="2" applyNumberFormat="1" applyFont="1" applyFill="1" applyBorder="1"/>
    <xf numFmtId="164" fontId="4" fillId="5" borderId="1" xfId="2" applyFont="1" applyFill="1" applyBorder="1" applyAlignment="1">
      <alignment horizontal="center"/>
    </xf>
    <xf numFmtId="165" fontId="4" fillId="5" borderId="18" xfId="2" applyNumberFormat="1" applyFont="1" applyFill="1" applyBorder="1" applyAlignment="1">
      <alignment horizontal="left"/>
    </xf>
    <xf numFmtId="165" fontId="7" fillId="6" borderId="0" xfId="2" applyNumberFormat="1" applyFill="1"/>
    <xf numFmtId="164" fontId="4" fillId="0" borderId="0" xfId="2" applyFont="1" applyAlignment="1">
      <alignment horizontal="center"/>
    </xf>
    <xf numFmtId="7" fontId="4" fillId="0" borderId="0" xfId="2" applyNumberFormat="1" applyFont="1"/>
    <xf numFmtId="165" fontId="4" fillId="0" borderId="0" xfId="2" applyNumberFormat="1" applyFont="1" applyAlignment="1">
      <alignment horizontal="left"/>
    </xf>
    <xf numFmtId="1" fontId="4" fillId="0" borderId="0" xfId="2" applyNumberFormat="1" applyFont="1"/>
    <xf numFmtId="2" fontId="7" fillId="0" borderId="0" xfId="2" applyNumberFormat="1" applyFill="1" applyBorder="1"/>
    <xf numFmtId="167" fontId="7" fillId="0" borderId="0" xfId="2" applyNumberFormat="1" applyFill="1" applyBorder="1"/>
    <xf numFmtId="164" fontId="4" fillId="5" borderId="15" xfId="2" applyFont="1" applyFill="1" applyBorder="1"/>
    <xf numFmtId="164" fontId="4" fillId="5" borderId="16" xfId="2" applyFont="1" applyFill="1" applyBorder="1"/>
    <xf numFmtId="164" fontId="4" fillId="0" borderId="0" xfId="2" applyFont="1" applyAlignment="1">
      <alignment horizontal="right"/>
    </xf>
    <xf numFmtId="10" fontId="4" fillId="0" borderId="0" xfId="2" applyNumberFormat="1" applyFont="1"/>
    <xf numFmtId="164" fontId="5" fillId="5" borderId="0" xfId="2" applyFont="1" applyFill="1" applyBorder="1"/>
    <xf numFmtId="168" fontId="4" fillId="0" borderId="0" xfId="2" applyNumberFormat="1" applyFont="1"/>
    <xf numFmtId="2" fontId="4" fillId="5" borderId="1" xfId="2" applyNumberFormat="1" applyFont="1" applyFill="1" applyBorder="1"/>
    <xf numFmtId="2" fontId="4" fillId="5" borderId="18" xfId="2" applyNumberFormat="1" applyFont="1" applyFill="1" applyBorder="1"/>
    <xf numFmtId="2" fontId="7" fillId="0" borderId="0" xfId="2" applyNumberFormat="1"/>
    <xf numFmtId="1" fontId="7" fillId="0" borderId="0" xfId="2" applyNumberFormat="1"/>
    <xf numFmtId="164" fontId="10" fillId="5" borderId="14" xfId="2" applyFont="1" applyFill="1" applyBorder="1"/>
    <xf numFmtId="164" fontId="4" fillId="5" borderId="2" xfId="2" applyFont="1" applyFill="1" applyBorder="1"/>
    <xf numFmtId="2" fontId="4" fillId="5" borderId="0" xfId="2" applyNumberFormat="1" applyFont="1" applyFill="1" applyBorder="1"/>
    <xf numFmtId="2" fontId="4" fillId="5" borderId="21" xfId="2" applyNumberFormat="1" applyFont="1" applyFill="1" applyBorder="1"/>
    <xf numFmtId="164" fontId="4" fillId="0" borderId="0" xfId="2" applyFont="1" applyFill="1" applyBorder="1"/>
    <xf numFmtId="164" fontId="4" fillId="0" borderId="0" xfId="2" applyFont="1" applyFill="1" applyBorder="1" applyAlignment="1">
      <alignment horizontal="center"/>
    </xf>
    <xf numFmtId="164" fontId="5" fillId="0" borderId="0" xfId="2" applyFont="1" applyFill="1" applyBorder="1"/>
    <xf numFmtId="1" fontId="4" fillId="0" borderId="0" xfId="2" applyNumberFormat="1" applyFont="1" applyFill="1" applyBorder="1"/>
    <xf numFmtId="2" fontId="4" fillId="0" borderId="0" xfId="2" applyNumberFormat="1" applyFont="1" applyFill="1" applyBorder="1"/>
    <xf numFmtId="171" fontId="7" fillId="0" borderId="0" xfId="2" applyNumberFormat="1" applyFill="1" applyBorder="1"/>
    <xf numFmtId="164" fontId="7" fillId="0" borderId="0" xfId="2" quotePrefix="1"/>
    <xf numFmtId="10" fontId="7" fillId="0" borderId="0" xfId="2" applyNumberFormat="1"/>
    <xf numFmtId="10" fontId="4" fillId="0" borderId="0" xfId="2" applyNumberFormat="1" applyFont="1" applyAlignment="1">
      <alignment horizontal="right"/>
    </xf>
    <xf numFmtId="172" fontId="4" fillId="0" borderId="0" xfId="2" applyNumberFormat="1" applyFont="1" applyAlignment="1">
      <alignment horizontal="right"/>
    </xf>
    <xf numFmtId="164" fontId="7" fillId="0" borderId="0" xfId="2" applyAlignment="1">
      <alignment horizontal="right"/>
    </xf>
    <xf numFmtId="164" fontId="7" fillId="0" borderId="3" xfId="2" applyFill="1" applyBorder="1"/>
    <xf numFmtId="164" fontId="7" fillId="0" borderId="10" xfId="2" applyFill="1" applyBorder="1"/>
    <xf numFmtId="164" fontId="7" fillId="0" borderId="4" xfId="2" applyFill="1" applyBorder="1"/>
    <xf numFmtId="167" fontId="7" fillId="0" borderId="3" xfId="2" applyNumberFormat="1" applyBorder="1"/>
    <xf numFmtId="9" fontId="7" fillId="0" borderId="4" xfId="2" applyNumberFormat="1" applyBorder="1"/>
    <xf numFmtId="164" fontId="7" fillId="0" borderId="5" xfId="2" applyFill="1" applyBorder="1"/>
    <xf numFmtId="10" fontId="7" fillId="6" borderId="22" xfId="2" applyNumberFormat="1" applyFill="1" applyBorder="1" applyAlignment="1">
      <alignment horizontal="center"/>
    </xf>
    <xf numFmtId="10" fontId="7" fillId="0" borderId="8" xfId="2" applyNumberFormat="1" applyBorder="1"/>
    <xf numFmtId="167" fontId="7" fillId="0" borderId="5" xfId="2" applyNumberFormat="1" applyBorder="1"/>
    <xf numFmtId="9" fontId="7" fillId="0" borderId="8" xfId="2" applyNumberFormat="1" applyBorder="1"/>
    <xf numFmtId="164" fontId="7" fillId="0" borderId="5" xfId="2" applyBorder="1"/>
    <xf numFmtId="164" fontId="7" fillId="0" borderId="8" xfId="2" applyBorder="1"/>
    <xf numFmtId="164" fontId="7" fillId="5" borderId="0" xfId="2" applyFill="1" applyBorder="1" applyAlignment="1">
      <alignment horizontal="center"/>
    </xf>
    <xf numFmtId="168" fontId="7" fillId="0" borderId="0" xfId="2" applyNumberFormat="1" applyFill="1" applyBorder="1"/>
    <xf numFmtId="166" fontId="7" fillId="5" borderId="0" xfId="2" applyNumberFormat="1" applyFill="1" applyBorder="1"/>
    <xf numFmtId="168" fontId="7" fillId="5" borderId="0" xfId="2" applyNumberFormat="1" applyFill="1" applyBorder="1"/>
    <xf numFmtId="168" fontId="7" fillId="5" borderId="0" xfId="2" applyNumberFormat="1" applyFill="1" applyBorder="1" applyAlignment="1">
      <alignment horizontal="right"/>
    </xf>
    <xf numFmtId="170" fontId="7" fillId="5" borderId="8" xfId="2" applyNumberFormat="1" applyFill="1" applyBorder="1"/>
    <xf numFmtId="164" fontId="7" fillId="5" borderId="11" xfId="2" applyFill="1" applyBorder="1" applyAlignment="1"/>
    <xf numFmtId="10" fontId="7" fillId="5" borderId="11" xfId="2" applyNumberFormat="1" applyFill="1" applyBorder="1"/>
    <xf numFmtId="167" fontId="7" fillId="0" borderId="6" xfId="2" applyNumberFormat="1" applyBorder="1"/>
    <xf numFmtId="9" fontId="7" fillId="0" borderId="12" xfId="2" applyNumberFormat="1" applyBorder="1"/>
    <xf numFmtId="164" fontId="3" fillId="5" borderId="5" xfId="2" applyFont="1" applyFill="1" applyBorder="1"/>
    <xf numFmtId="164" fontId="3" fillId="5" borderId="0" xfId="2" applyFont="1" applyFill="1" applyBorder="1" applyAlignment="1">
      <alignment horizontal="left"/>
    </xf>
    <xf numFmtId="164" fontId="7" fillId="2" borderId="11" xfId="2" applyFill="1" applyBorder="1"/>
    <xf numFmtId="164" fontId="3" fillId="5" borderId="6" xfId="2" applyFont="1" applyFill="1" applyBorder="1"/>
    <xf numFmtId="164" fontId="4" fillId="5" borderId="11" xfId="2" quotePrefix="1" applyFont="1" applyFill="1" applyBorder="1"/>
    <xf numFmtId="164" fontId="7" fillId="0" borderId="6" xfId="2" applyBorder="1"/>
    <xf numFmtId="164" fontId="7" fillId="0" borderId="11" xfId="2" applyBorder="1"/>
    <xf numFmtId="164" fontId="7" fillId="0" borderId="12" xfId="2" applyBorder="1"/>
    <xf numFmtId="164" fontId="5" fillId="0" borderId="0" xfId="2" applyFont="1" applyAlignment="1">
      <alignment horizontal="right"/>
    </xf>
    <xf numFmtId="165" fontId="4" fillId="0" borderId="0" xfId="2" applyNumberFormat="1" applyFont="1" applyFill="1" applyBorder="1"/>
    <xf numFmtId="164" fontId="7" fillId="5" borderId="14" xfId="2" applyFill="1" applyBorder="1"/>
    <xf numFmtId="164" fontId="4" fillId="5" borderId="2" xfId="2" applyFont="1" applyFill="1" applyBorder="1" applyAlignment="1">
      <alignment horizontal="right"/>
    </xf>
    <xf numFmtId="164" fontId="5" fillId="0" borderId="0" xfId="2" quotePrefix="1" applyFont="1" applyAlignment="1">
      <alignment horizontal="right"/>
    </xf>
    <xf numFmtId="164" fontId="4" fillId="0" borderId="0" xfId="2" applyFont="1" applyFill="1" applyBorder="1" applyAlignment="1">
      <alignment horizontal="right"/>
    </xf>
    <xf numFmtId="165" fontId="4" fillId="0" borderId="0" xfId="2" applyNumberFormat="1" applyFont="1"/>
    <xf numFmtId="169" fontId="4" fillId="0" borderId="0" xfId="2" applyNumberFormat="1" applyFont="1"/>
    <xf numFmtId="164" fontId="4" fillId="0" borderId="17" xfId="2" applyFont="1" applyBorder="1"/>
    <xf numFmtId="164" fontId="4" fillId="0" borderId="1" xfId="2" applyFont="1" applyBorder="1"/>
    <xf numFmtId="164" fontId="7" fillId="0" borderId="0" xfId="2" applyBorder="1" applyAlignment="1">
      <alignment horizontal="right"/>
    </xf>
    <xf numFmtId="164" fontId="7" fillId="2" borderId="3" xfId="2" applyFill="1" applyBorder="1"/>
    <xf numFmtId="164" fontId="7" fillId="2" borderId="4" xfId="2" applyFill="1" applyBorder="1"/>
    <xf numFmtId="168" fontId="7" fillId="2" borderId="5" xfId="2" applyNumberFormat="1" applyFill="1" applyBorder="1"/>
    <xf numFmtId="168" fontId="7" fillId="2" borderId="8" xfId="2" applyNumberFormat="1" applyFill="1" applyBorder="1"/>
    <xf numFmtId="168" fontId="7" fillId="2" borderId="6" xfId="2" applyNumberFormat="1" applyFill="1" applyBorder="1"/>
    <xf numFmtId="168" fontId="7" fillId="2" borderId="11" xfId="2" applyNumberFormat="1" applyFill="1" applyBorder="1"/>
    <xf numFmtId="168" fontId="7" fillId="2" borderId="12" xfId="2" applyNumberFormat="1" applyFill="1" applyBorder="1"/>
    <xf numFmtId="164" fontId="12" fillId="0" borderId="0" xfId="2" applyFont="1"/>
    <xf numFmtId="164" fontId="4" fillId="0" borderId="2" xfId="2" applyFont="1" applyFill="1" applyBorder="1" applyAlignment="1">
      <alignment horizontal="right"/>
    </xf>
    <xf numFmtId="164" fontId="5" fillId="0" borderId="0" xfId="2" applyFont="1"/>
    <xf numFmtId="164" fontId="7" fillId="0" borderId="0" xfId="2" applyAlignment="1">
      <alignment horizontal="center"/>
    </xf>
    <xf numFmtId="174" fontId="7" fillId="2" borderId="0" xfId="2" applyNumberFormat="1" applyFill="1" applyBorder="1"/>
    <xf numFmtId="174" fontId="3" fillId="5" borderId="0" xfId="2" applyNumberFormat="1" applyFont="1" applyFill="1" applyBorder="1"/>
    <xf numFmtId="173" fontId="5" fillId="0" borderId="0" xfId="2" applyNumberFormat="1" applyFont="1" applyAlignment="1">
      <alignment horizontal="right"/>
    </xf>
    <xf numFmtId="173" fontId="5" fillId="5" borderId="15" xfId="2" applyNumberFormat="1" applyFont="1" applyFill="1" applyBorder="1" applyAlignment="1">
      <alignment horizontal="right"/>
    </xf>
    <xf numFmtId="173" fontId="4" fillId="5" borderId="15" xfId="2" applyNumberFormat="1" applyFont="1" applyFill="1" applyBorder="1"/>
    <xf numFmtId="173" fontId="4" fillId="5" borderId="16" xfId="2" applyNumberFormat="1" applyFont="1" applyFill="1" applyBorder="1"/>
    <xf numFmtId="173" fontId="4" fillId="5" borderId="0" xfId="2" applyNumberFormat="1" applyFont="1" applyFill="1" applyBorder="1"/>
    <xf numFmtId="173" fontId="4" fillId="5" borderId="21" xfId="2" applyNumberFormat="1" applyFont="1" applyFill="1" applyBorder="1"/>
    <xf numFmtId="173" fontId="5" fillId="5" borderId="21" xfId="2" quotePrefix="1" applyNumberFormat="1" applyFont="1" applyFill="1" applyBorder="1" applyAlignment="1">
      <alignment horizontal="right"/>
    </xf>
    <xf numFmtId="173" fontId="7" fillId="5" borderId="0" xfId="2" applyNumberFormat="1" applyFill="1" applyBorder="1"/>
    <xf numFmtId="173" fontId="4" fillId="5" borderId="1" xfId="2" applyNumberFormat="1" applyFont="1" applyFill="1" applyBorder="1"/>
    <xf numFmtId="173" fontId="4" fillId="5" borderId="18" xfId="2" applyNumberFormat="1" applyFont="1" applyFill="1" applyBorder="1"/>
    <xf numFmtId="174" fontId="4" fillId="0" borderId="0" xfId="2" applyNumberFormat="1" applyFont="1" applyBorder="1"/>
    <xf numFmtId="174" fontId="4" fillId="0" borderId="0" xfId="2" applyNumberFormat="1" applyFont="1" applyFill="1" applyBorder="1"/>
    <xf numFmtId="173" fontId="4" fillId="0" borderId="0" xfId="2" applyNumberFormat="1" applyFont="1"/>
    <xf numFmtId="1" fontId="4" fillId="5" borderId="0" xfId="2" applyNumberFormat="1" applyFont="1" applyFill="1" applyBorder="1" applyAlignment="1">
      <alignment horizontal="right"/>
    </xf>
    <xf numFmtId="10" fontId="7" fillId="0" borderId="0" xfId="2" applyNumberFormat="1" applyAlignment="1">
      <alignment horizontal="right"/>
    </xf>
    <xf numFmtId="10" fontId="11" fillId="5" borderId="11" xfId="2" applyNumberFormat="1" applyFont="1" applyFill="1" applyBorder="1"/>
    <xf numFmtId="174" fontId="4" fillId="2" borderId="23" xfId="0" applyNumberFormat="1" applyFont="1" applyFill="1" applyBorder="1" applyAlignment="1">
      <alignment horizontal="left"/>
    </xf>
    <xf numFmtId="10" fontId="11" fillId="0" borderId="0" xfId="2" applyNumberFormat="1" applyFont="1" applyFill="1" applyBorder="1"/>
    <xf numFmtId="164" fontId="11" fillId="0" borderId="0" xfId="2" applyFont="1" applyFill="1" applyBorder="1"/>
    <xf numFmtId="10" fontId="4" fillId="0" borderId="0" xfId="0" applyNumberFormat="1" applyFont="1" applyFill="1" applyBorder="1"/>
    <xf numFmtId="165" fontId="4" fillId="0" borderId="0" xfId="0" applyNumberFormat="1" applyFont="1" applyFill="1" applyBorder="1"/>
    <xf numFmtId="0" fontId="14" fillId="0" borderId="1" xfId="1" applyFont="1" applyBorder="1"/>
    <xf numFmtId="0" fontId="1" fillId="0" borderId="0" xfId="1"/>
    <xf numFmtId="167" fontId="1" fillId="0" borderId="0" xfId="1" applyNumberFormat="1"/>
    <xf numFmtId="0" fontId="15" fillId="0" borderId="0" xfId="1" applyFont="1"/>
    <xf numFmtId="0" fontId="1" fillId="0" borderId="0" xfId="1" applyAlignment="1">
      <alignment horizontal="right"/>
    </xf>
    <xf numFmtId="165" fontId="1" fillId="0" borderId="0" xfId="1" applyNumberFormat="1"/>
    <xf numFmtId="10" fontId="16" fillId="0" borderId="0" xfId="1" applyNumberFormat="1" applyFont="1" applyBorder="1"/>
    <xf numFmtId="10" fontId="1" fillId="0" borderId="0" xfId="1" applyNumberFormat="1"/>
    <xf numFmtId="2" fontId="1" fillId="0" borderId="0" xfId="1" applyNumberFormat="1"/>
    <xf numFmtId="0" fontId="16" fillId="0" borderId="0" xfId="1" applyFont="1"/>
    <xf numFmtId="2" fontId="1" fillId="0" borderId="0" xfId="1" quotePrefix="1" applyNumberFormat="1"/>
    <xf numFmtId="0" fontId="1" fillId="0" borderId="1" xfId="1" applyBorder="1"/>
    <xf numFmtId="0" fontId="1" fillId="0" borderId="0" xfId="1" applyFont="1" applyAlignment="1">
      <alignment horizontal="left"/>
    </xf>
    <xf numFmtId="0" fontId="1" fillId="0" borderId="0" xfId="1" applyFont="1"/>
    <xf numFmtId="0" fontId="1" fillId="0" borderId="0" xfId="1" applyFont="1" applyAlignment="1">
      <alignment horizontal="right"/>
    </xf>
    <xf numFmtId="10" fontId="1" fillId="0" borderId="0" xfId="1" applyNumberFormat="1" applyFont="1"/>
    <xf numFmtId="164" fontId="17" fillId="0" borderId="0" xfId="0" applyFont="1"/>
    <xf numFmtId="0" fontId="1" fillId="0" borderId="0" xfId="3"/>
    <xf numFmtId="176" fontId="1" fillId="0" borderId="0" xfId="3" applyNumberFormat="1"/>
    <xf numFmtId="167" fontId="1" fillId="0" borderId="0" xfId="3" applyNumberFormat="1"/>
    <xf numFmtId="0" fontId="1" fillId="0" borderId="0" xfId="3" quotePrefix="1"/>
    <xf numFmtId="10" fontId="1" fillId="0" borderId="0" xfId="3" applyNumberFormat="1"/>
    <xf numFmtId="6" fontId="1" fillId="0" borderId="0" xfId="3" applyNumberFormat="1"/>
    <xf numFmtId="6" fontId="1" fillId="0" borderId="1" xfId="3" applyNumberFormat="1" applyBorder="1"/>
    <xf numFmtId="0" fontId="1" fillId="0" borderId="1" xfId="3" applyBorder="1"/>
    <xf numFmtId="175" fontId="1" fillId="0" borderId="0" xfId="3" applyNumberFormat="1"/>
    <xf numFmtId="10" fontId="1" fillId="6" borderId="0" xfId="3" applyNumberFormat="1" applyFill="1"/>
    <xf numFmtId="0" fontId="18" fillId="0" borderId="0" xfId="3" quotePrefix="1" applyFont="1"/>
    <xf numFmtId="6" fontId="1" fillId="6" borderId="0" xfId="3" applyNumberFormat="1" applyFill="1"/>
    <xf numFmtId="1" fontId="1" fillId="0" borderId="0" xfId="3" applyNumberFormat="1"/>
    <xf numFmtId="1" fontId="1" fillId="0" borderId="1" xfId="3" applyNumberFormat="1" applyBorder="1"/>
    <xf numFmtId="171" fontId="1" fillId="0" borderId="0" xfId="3" applyNumberFormat="1"/>
    <xf numFmtId="2" fontId="1" fillId="0" borderId="0" xfId="3" applyNumberFormat="1"/>
    <xf numFmtId="9" fontId="1" fillId="0" borderId="0" xfId="3" applyNumberFormat="1"/>
    <xf numFmtId="170" fontId="1" fillId="0" borderId="0" xfId="3" applyNumberFormat="1"/>
    <xf numFmtId="40" fontId="1" fillId="0" borderId="0" xfId="3" applyNumberFormat="1" applyAlignment="1">
      <alignment horizontal="right"/>
    </xf>
    <xf numFmtId="4" fontId="1" fillId="0" borderId="0" xfId="3" applyNumberFormat="1"/>
    <xf numFmtId="10" fontId="0" fillId="0" borderId="0" xfId="0" applyNumberFormat="1"/>
    <xf numFmtId="10" fontId="0" fillId="0" borderId="0" xfId="0" quotePrefix="1" applyNumberFormat="1" applyFill="1"/>
    <xf numFmtId="10" fontId="20" fillId="0" borderId="0" xfId="0" applyNumberFormat="1" applyFont="1" applyFill="1"/>
    <xf numFmtId="2" fontId="20" fillId="0" borderId="0" xfId="0" applyNumberFormat="1" applyFont="1"/>
    <xf numFmtId="10" fontId="20" fillId="0" borderId="0" xfId="0" applyNumberFormat="1" applyFont="1"/>
    <xf numFmtId="9" fontId="0" fillId="0" borderId="0" xfId="0" applyNumberFormat="1"/>
    <xf numFmtId="9" fontId="20" fillId="0" borderId="0" xfId="0" applyNumberFormat="1" applyFont="1"/>
    <xf numFmtId="2" fontId="19" fillId="0" borderId="1" xfId="0" applyNumberFormat="1" applyFont="1" applyBorder="1"/>
    <xf numFmtId="10" fontId="0" fillId="0" borderId="1" xfId="0" applyNumberFormat="1" applyBorder="1"/>
    <xf numFmtId="10" fontId="20" fillId="0" borderId="1" xfId="0" applyNumberFormat="1" applyFont="1" applyBorder="1"/>
    <xf numFmtId="9" fontId="19" fillId="0" borderId="1" xfId="0" applyNumberFormat="1" applyFont="1" applyBorder="1"/>
    <xf numFmtId="10" fontId="19" fillId="0" borderId="1" xfId="0" applyNumberFormat="1" applyFont="1" applyBorder="1"/>
    <xf numFmtId="10" fontId="0" fillId="0" borderId="1" xfId="0" applyNumberFormat="1" applyFont="1" applyBorder="1"/>
    <xf numFmtId="10" fontId="0" fillId="0" borderId="2" xfId="0" applyNumberFormat="1" applyBorder="1" applyAlignment="1">
      <alignment horizontal="right"/>
    </xf>
    <xf numFmtId="10" fontId="0" fillId="0" borderId="17" xfId="0" applyNumberFormat="1" applyBorder="1" applyAlignment="1">
      <alignment horizontal="right"/>
    </xf>
    <xf numFmtId="2" fontId="0" fillId="0" borderId="2" xfId="0" applyNumberFormat="1" applyBorder="1" applyAlignment="1">
      <alignment horizontal="right"/>
    </xf>
    <xf numFmtId="9" fontId="0" fillId="0" borderId="2" xfId="0" applyNumberFormat="1" applyBorder="1" applyAlignment="1">
      <alignment horizontal="right"/>
    </xf>
    <xf numFmtId="9" fontId="0" fillId="0" borderId="2" xfId="0" applyNumberFormat="1" applyBorder="1"/>
    <xf numFmtId="164" fontId="0" fillId="0" borderId="2" xfId="0" applyBorder="1"/>
    <xf numFmtId="10" fontId="0" fillId="0" borderId="2" xfId="0" applyNumberFormat="1" applyBorder="1"/>
    <xf numFmtId="10" fontId="6" fillId="0" borderId="0" xfId="0" applyNumberFormat="1" applyFont="1" applyAlignment="1">
      <alignment horizontal="right"/>
    </xf>
    <xf numFmtId="171" fontId="1" fillId="7" borderId="0" xfId="3" applyNumberFormat="1" applyFill="1"/>
    <xf numFmtId="10" fontId="0" fillId="0" borderId="2" xfId="0" applyNumberFormat="1" applyBorder="1" applyAlignment="1">
      <alignment horizontal="left"/>
    </xf>
    <xf numFmtId="10" fontId="0" fillId="0" borderId="0" xfId="0" applyNumberFormat="1" applyFont="1" applyFill="1"/>
    <xf numFmtId="2" fontId="0" fillId="0" borderId="1" xfId="0" applyNumberFormat="1" applyBorder="1"/>
    <xf numFmtId="2" fontId="0" fillId="0" borderId="1" xfId="0" applyNumberFormat="1" applyFont="1" applyBorder="1"/>
    <xf numFmtId="2" fontId="20" fillId="0" borderId="17" xfId="0" applyNumberFormat="1" applyFont="1" applyBorder="1" applyAlignment="1">
      <alignment horizontal="right"/>
    </xf>
    <xf numFmtId="10" fontId="0" fillId="0" borderId="0" xfId="0" applyNumberFormat="1" applyFont="1"/>
    <xf numFmtId="10" fontId="20" fillId="0" borderId="2" xfId="0" applyNumberFormat="1" applyFont="1" applyBorder="1"/>
    <xf numFmtId="164" fontId="23" fillId="8" borderId="0" xfId="0" applyFont="1" applyFill="1"/>
    <xf numFmtId="164" fontId="0" fillId="8" borderId="0" xfId="0" applyFill="1"/>
    <xf numFmtId="165" fontId="23" fillId="8" borderId="0" xfId="0" applyNumberFormat="1" applyFont="1" applyFill="1"/>
    <xf numFmtId="10" fontId="23" fillId="8" borderId="0" xfId="0" applyNumberFormat="1" applyFont="1" applyFill="1"/>
    <xf numFmtId="164" fontId="0" fillId="8" borderId="0" xfId="0" quotePrefix="1" applyFill="1"/>
    <xf numFmtId="2" fontId="23" fillId="8" borderId="0" xfId="0" applyNumberFormat="1" applyFont="1" applyFill="1"/>
    <xf numFmtId="164" fontId="0" fillId="8" borderId="1" xfId="0" applyFill="1" applyBorder="1"/>
    <xf numFmtId="10" fontId="23" fillId="8" borderId="1" xfId="0" applyNumberFormat="1" applyFont="1" applyFill="1" applyBorder="1"/>
    <xf numFmtId="164" fontId="24" fillId="9" borderId="0" xfId="0" applyFont="1" applyFill="1" applyBorder="1"/>
    <xf numFmtId="10" fontId="0" fillId="9" borderId="0" xfId="0" applyNumberFormat="1" applyFill="1" applyBorder="1"/>
    <xf numFmtId="164" fontId="0" fillId="9" borderId="0" xfId="0" applyFill="1"/>
    <xf numFmtId="165" fontId="24" fillId="9" borderId="0" xfId="0" applyNumberFormat="1" applyFont="1" applyFill="1"/>
    <xf numFmtId="164" fontId="0" fillId="9" borderId="0" xfId="0" applyFill="1" applyAlignment="1">
      <alignment horizontal="right"/>
    </xf>
    <xf numFmtId="9" fontId="24" fillId="9" borderId="0" xfId="0" applyNumberFormat="1" applyFont="1" applyFill="1"/>
    <xf numFmtId="10" fontId="24" fillId="9" borderId="0" xfId="0" applyNumberFormat="1" applyFont="1" applyFill="1"/>
    <xf numFmtId="164" fontId="3" fillId="9" borderId="24" xfId="0" applyFont="1" applyFill="1" applyBorder="1"/>
    <xf numFmtId="10" fontId="25" fillId="9" borderId="9" xfId="0" applyNumberFormat="1" applyFont="1" applyFill="1" applyBorder="1"/>
  </cellXfs>
  <cellStyles count="4">
    <cellStyle name="Normal" xfId="0" builtinId="0"/>
    <cellStyle name="Normal_Devlpt OCC Estimation Worksheet" xfId="1"/>
    <cellStyle name="Normal_GM2eCh28_CD Excel file Draft01" xfId="2"/>
    <cellStyle name="Normal_GM2eCh29_Scratchpad" xfId="3"/>
  </cellStyles>
  <dxfs count="0"/>
  <tableStyles count="0" defaultTableStyle="TableStyleMedium9" defaultPivotStyle="PivotStyleLight16"/>
  <colors>
    <mruColors>
      <color rgb="FFFFFFCC"/>
      <color rgb="FFCCFFFF"/>
      <color rgb="FF0000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ser>
          <c:idx val="0"/>
          <c:order val="0"/>
          <c:spPr>
            <a:solidFill>
              <a:srgbClr val="9999FF"/>
            </a:solidFill>
            <a:ln w="12700">
              <a:solidFill>
                <a:srgbClr val="000000"/>
              </a:solidFill>
              <a:prstDash val="solid"/>
            </a:ln>
          </c:spPr>
          <c:val>
            <c:numRef>
              <c:f>'Binomial Example 1yr'!#REF!</c:f>
              <c:numCache>
                <c:formatCode>General</c:formatCode>
                <c:ptCount val="1"/>
                <c:pt idx="0">
                  <c:v>0</c:v>
                </c:pt>
              </c:numCache>
            </c:numRef>
          </c:val>
        </c:ser>
        <c:axId val="158011776"/>
        <c:axId val="158013312"/>
      </c:barChart>
      <c:catAx>
        <c:axId val="158011776"/>
        <c:scaling>
          <c:orientation val="minMax"/>
        </c:scaling>
        <c:axPos val="b"/>
        <c:numFmt formatCode="General" sourceLinked="1"/>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58013312"/>
        <c:crosses val="autoZero"/>
        <c:auto val="1"/>
        <c:lblAlgn val="ctr"/>
        <c:lblOffset val="100"/>
        <c:tickLblSkip val="1"/>
        <c:tickMarkSkip val="1"/>
      </c:catAx>
      <c:valAx>
        <c:axId val="158013312"/>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58011776"/>
        <c:crosses val="autoZero"/>
        <c:crossBetween val="between"/>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ser>
          <c:idx val="0"/>
          <c:order val="0"/>
          <c:spPr>
            <a:solidFill>
              <a:srgbClr val="9999FF"/>
            </a:solidFill>
            <a:ln w="12700">
              <a:solidFill>
                <a:srgbClr val="000000"/>
              </a:solidFill>
              <a:prstDash val="solid"/>
            </a:ln>
          </c:spPr>
          <c:val>
            <c:numRef>
              <c:f>'Binomial Example 12mo'!#REF!</c:f>
              <c:numCache>
                <c:formatCode>General</c:formatCode>
                <c:ptCount val="1"/>
                <c:pt idx="0">
                  <c:v>0</c:v>
                </c:pt>
              </c:numCache>
            </c:numRef>
          </c:val>
        </c:ser>
        <c:axId val="174425216"/>
        <c:axId val="174426752"/>
      </c:barChart>
      <c:catAx>
        <c:axId val="174425216"/>
        <c:scaling>
          <c:orientation val="minMax"/>
        </c:scaling>
        <c:axPos val="b"/>
        <c:numFmt formatCode="General" sourceLinked="1"/>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74426752"/>
        <c:crosses val="autoZero"/>
        <c:auto val="1"/>
        <c:lblAlgn val="ctr"/>
        <c:lblOffset val="100"/>
        <c:tickLblSkip val="1"/>
        <c:tickMarkSkip val="1"/>
      </c:catAx>
      <c:valAx>
        <c:axId val="174426752"/>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74425216"/>
        <c:crosses val="autoZero"/>
        <c:crossBetween val="between"/>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t>1 Year (Period 12) 
Value Probabilities for Underlying Asset (new office building)</a:t>
            </a:r>
          </a:p>
        </c:rich>
      </c:tx>
      <c:layout>
        <c:manualLayout>
          <c:xMode val="edge"/>
          <c:yMode val="edge"/>
          <c:x val="0.12071787755999371"/>
          <c:y val="3.2110127703608472E-2"/>
        </c:manualLayout>
      </c:layout>
      <c:spPr>
        <a:noFill/>
        <a:ln w="25400">
          <a:noFill/>
        </a:ln>
      </c:spPr>
    </c:title>
    <c:plotArea>
      <c:layout>
        <c:manualLayout>
          <c:layoutTarget val="inner"/>
          <c:xMode val="edge"/>
          <c:yMode val="edge"/>
          <c:x val="9.2985392174589926E-2"/>
          <c:y val="0.16743138016881579"/>
          <c:w val="0.8760202736448206"/>
          <c:h val="0.72018429278093277"/>
        </c:manualLayout>
      </c:layout>
      <c:barChart>
        <c:barDir val="col"/>
        <c:grouping val="clustered"/>
        <c:ser>
          <c:idx val="1"/>
          <c:order val="0"/>
          <c:spPr>
            <a:solidFill>
              <a:srgbClr val="993366"/>
            </a:solidFill>
            <a:ln w="12700">
              <a:solidFill>
                <a:srgbClr val="000000"/>
              </a:solidFill>
              <a:prstDash val="solid"/>
            </a:ln>
          </c:spPr>
          <c:cat>
            <c:numRef>
              <c:f>'Binomial Example 12mo'!$X$1:$X$13</c:f>
              <c:numCache>
                <c:formatCode>"$"#,##0</c:formatCode>
                <c:ptCount val="13"/>
                <c:pt idx="0">
                  <c:v>2.2616033336539743</c:v>
                </c:pt>
                <c:pt idx="1">
                  <c:v>2.8652617138876249</c:v>
                </c:pt>
                <c:pt idx="2">
                  <c:v>3.6300462450266018</c:v>
                </c:pt>
                <c:pt idx="3">
                  <c:v>4.5989640936334162</c:v>
                </c:pt>
                <c:pt idx="4">
                  <c:v>5.8265017321768102</c:v>
                </c:pt>
                <c:pt idx="5">
                  <c:v>7.3816889507912267</c:v>
                </c:pt>
                <c:pt idx="6">
                  <c:v>9.3519807031578459</c:v>
                </c:pt>
                <c:pt idx="7">
                  <c:v>11.848175079615366</c:v>
                </c:pt>
                <c:pt idx="8">
                  <c:v>15.01064396655751</c:v>
                </c:pt>
                <c:pt idx="9">
                  <c:v>19.017226769243862</c:v>
                </c:pt>
                <c:pt idx="10">
                  <c:v>24.093231096452826</c:v>
                </c:pt>
                <c:pt idx="11">
                  <c:v>30.524102789050442</c:v>
                </c:pt>
                <c:pt idx="12">
                  <c:v>38.671477783388362</c:v>
                </c:pt>
              </c:numCache>
            </c:numRef>
          </c:cat>
          <c:val>
            <c:numRef>
              <c:f>'Binomial Example 12mo'!$Y$1:$Y$13</c:f>
              <c:numCache>
                <c:formatCode>0%</c:formatCode>
                <c:ptCount val="13"/>
                <c:pt idx="0">
                  <c:v>2.3218113566687856E-4</c:v>
                </c:pt>
                <c:pt idx="1">
                  <c:v>2.8095458293535902E-3</c:v>
                </c:pt>
                <c:pt idx="2">
                  <c:v>1.5582127503997113E-2</c:v>
                </c:pt>
                <c:pt idx="3">
                  <c:v>5.2376134424779411E-2</c:v>
                </c:pt>
                <c:pt idx="4">
                  <c:v>0.11883487240049433</c:v>
                </c:pt>
                <c:pt idx="5">
                  <c:v>0.19173077616067088</c:v>
                </c:pt>
                <c:pt idx="6">
                  <c:v>0.22556232555816969</c:v>
                </c:pt>
                <c:pt idx="7">
                  <c:v>0.19496098817448776</c:v>
                </c:pt>
                <c:pt idx="8">
                  <c:v>0.12287277830316425</c:v>
                </c:pt>
                <c:pt idx="9">
                  <c:v>5.5068228236927599E-2</c:v>
                </c:pt>
                <c:pt idx="10">
                  <c:v>1.6659052696999795E-2</c:v>
                </c:pt>
                <c:pt idx="11">
                  <c:v>3.0543271737807757E-3</c:v>
                </c:pt>
                <c:pt idx="12">
                  <c:v>2.566624015080132E-4</c:v>
                </c:pt>
              </c:numCache>
            </c:numRef>
          </c:val>
        </c:ser>
        <c:axId val="174450176"/>
        <c:axId val="174451712"/>
      </c:barChart>
      <c:catAx>
        <c:axId val="174450176"/>
        <c:scaling>
          <c:orientation val="minMax"/>
        </c:scaling>
        <c:axPos val="b"/>
        <c:numFmt formatCode="&quot;$&quot;#,##0"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4451712"/>
        <c:crosses val="autoZero"/>
        <c:auto val="1"/>
        <c:lblAlgn val="ctr"/>
        <c:lblOffset val="100"/>
        <c:tickLblSkip val="1"/>
        <c:tickMarkSkip val="1"/>
      </c:catAx>
      <c:valAx>
        <c:axId val="174451712"/>
        <c:scaling>
          <c:orientation val="minMax"/>
        </c:scaling>
        <c:axPos val="l"/>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4450176"/>
        <c:crosses val="autoZero"/>
        <c:crossBetween val="between"/>
      </c:valAx>
      <c:spPr>
        <a:solidFill>
          <a:srgbClr val="FFFFFF"/>
        </a:solidFill>
        <a:ln w="3175">
          <a:solidFill>
            <a:srgbClr val="000000"/>
          </a:solidFill>
          <a:prstDash val="solid"/>
        </a:ln>
      </c:spPr>
    </c:plotArea>
    <c:plotVisOnly val="1"/>
    <c:dispBlanksAs val="gap"/>
  </c:chart>
  <c:spPr>
    <a:solidFill>
      <a:srgbClr val="FFFF00"/>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ser>
          <c:idx val="0"/>
          <c:order val="0"/>
          <c:spPr>
            <a:solidFill>
              <a:srgbClr val="9999FF"/>
            </a:solidFill>
            <a:ln w="12700">
              <a:solidFill>
                <a:srgbClr val="000000"/>
              </a:solidFill>
              <a:prstDash val="solid"/>
            </a:ln>
          </c:spPr>
          <c:val>
            <c:numRef>
              <c:f>#REF!</c:f>
              <c:numCache>
                <c:formatCode>General</c:formatCode>
                <c:ptCount val="1"/>
                <c:pt idx="0">
                  <c:v>1</c:v>
                </c:pt>
              </c:numCache>
            </c:numRef>
          </c:val>
        </c:ser>
        <c:axId val="174898176"/>
        <c:axId val="174920448"/>
      </c:barChart>
      <c:catAx>
        <c:axId val="174898176"/>
        <c:scaling>
          <c:orientation val="minMax"/>
        </c:scaling>
        <c:axPos val="b"/>
        <c:numFmt formatCode="General" sourceLinked="1"/>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74920448"/>
        <c:crosses val="autoZero"/>
        <c:auto val="1"/>
        <c:lblAlgn val="ctr"/>
        <c:lblOffset val="100"/>
        <c:tickLblSkip val="1"/>
        <c:tickMarkSkip val="1"/>
      </c:catAx>
      <c:valAx>
        <c:axId val="174920448"/>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74898176"/>
        <c:crosses val="autoZero"/>
        <c:crossBetween val="between"/>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31</xdr:col>
      <xdr:colOff>123825</xdr:colOff>
      <xdr:row>25</xdr:row>
      <xdr:rowOff>0</xdr:rowOff>
    </xdr:from>
    <xdr:to>
      <xdr:col>36</xdr:col>
      <xdr:colOff>57150</xdr:colOff>
      <xdr:row>25</xdr:row>
      <xdr:rowOff>0</xdr:rowOff>
    </xdr:to>
    <xdr:graphicFrame macro="">
      <xdr:nvGraphicFramePr>
        <xdr:cNvPr id="184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123825</xdr:colOff>
      <xdr:row>54</xdr:row>
      <xdr:rowOff>0</xdr:rowOff>
    </xdr:from>
    <xdr:to>
      <xdr:col>37</xdr:col>
      <xdr:colOff>57150</xdr:colOff>
      <xdr:row>54</xdr:row>
      <xdr:rowOff>0</xdr:rowOff>
    </xdr:to>
    <xdr:graphicFrame macro="">
      <xdr:nvGraphicFramePr>
        <xdr:cNvPr id="1945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95250</xdr:colOff>
      <xdr:row>0</xdr:row>
      <xdr:rowOff>66675</xdr:rowOff>
    </xdr:from>
    <xdr:to>
      <xdr:col>22</xdr:col>
      <xdr:colOff>600075</xdr:colOff>
      <xdr:row>21</xdr:row>
      <xdr:rowOff>85725</xdr:rowOff>
    </xdr:to>
    <xdr:graphicFrame macro="">
      <xdr:nvGraphicFramePr>
        <xdr:cNvPr id="1945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123825</xdr:colOff>
      <xdr:row>86</xdr:row>
      <xdr:rowOff>0</xdr:rowOff>
    </xdr:from>
    <xdr:to>
      <xdr:col>36</xdr:col>
      <xdr:colOff>57150</xdr:colOff>
      <xdr:row>86</xdr:row>
      <xdr:rowOff>0</xdr:rowOff>
    </xdr:to>
    <xdr:graphicFrame macro="">
      <xdr:nvGraphicFramePr>
        <xdr:cNvPr id="163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geltner/My%20Documents/Teaching/431f04/Real%20Options/Binom&amp;Sam-M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dgeltner/My%20Documents/Teaching/432s04/Sam-McK_LAND_Formula_wFisher-Margrab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inom-SamMcK (2)"/>
      <sheetName val="Binom-SamMcK"/>
      <sheetName val="BinomExmpl (3)"/>
      <sheetName val="BinomExmpl (2)"/>
      <sheetName val="BinomExmpl"/>
      <sheetName val="DTA&amp;realoptions"/>
      <sheetName val="Black-Scholes"/>
      <sheetName val="Sam-McK Formula"/>
      <sheetName val="Charts"/>
      <sheetName val="Comparisons"/>
    </sheetNames>
    <sheetDataSet>
      <sheetData sheetId="0"/>
      <sheetData sheetId="1"/>
      <sheetData sheetId="2"/>
      <sheetData sheetId="3"/>
      <sheetData sheetId="4"/>
      <sheetData sheetId="5"/>
      <sheetData sheetId="6"/>
      <sheetData sheetId="7"/>
      <sheetData sheetId="8">
        <row r="10">
          <cell r="K10">
            <v>0</v>
          </cell>
          <cell r="L10">
            <v>0</v>
          </cell>
          <cell r="M10">
            <v>0</v>
          </cell>
        </row>
        <row r="11">
          <cell r="K11">
            <v>0.01</v>
          </cell>
          <cell r="L11">
            <v>1.2226112044404848E-11</v>
          </cell>
          <cell r="M11">
            <v>0</v>
          </cell>
        </row>
        <row r="12">
          <cell r="K12">
            <v>0.02</v>
          </cell>
          <cell r="L12">
            <v>3.6938949169862036E-10</v>
          </cell>
          <cell r="M12">
            <v>0</v>
          </cell>
        </row>
        <row r="13">
          <cell r="K13">
            <v>0.03</v>
          </cell>
          <cell r="L13">
            <v>2.7123378648776208E-9</v>
          </cell>
          <cell r="M13">
            <v>0</v>
          </cell>
        </row>
        <row r="14">
          <cell r="K14">
            <v>0.04</v>
          </cell>
          <cell r="L14">
            <v>1.1160424187328539E-8</v>
          </cell>
          <cell r="M14">
            <v>0</v>
          </cell>
        </row>
        <row r="15">
          <cell r="K15">
            <v>0.05</v>
          </cell>
          <cell r="L15">
            <v>3.3434700183583563E-8</v>
          </cell>
          <cell r="M15">
            <v>0</v>
          </cell>
        </row>
        <row r="16">
          <cell r="K16">
            <v>6.0000000000000005E-2</v>
          </cell>
          <cell r="L16">
            <v>8.1948300619457922E-8</v>
          </cell>
          <cell r="M16">
            <v>0</v>
          </cell>
        </row>
        <row r="17">
          <cell r="K17">
            <v>7.0000000000000007E-2</v>
          </cell>
          <cell r="L17">
            <v>1.7487364449180476E-7</v>
          </cell>
          <cell r="M17">
            <v>0</v>
          </cell>
        </row>
        <row r="18">
          <cell r="K18">
            <v>0.08</v>
          </cell>
          <cell r="L18">
            <v>3.371916928885758E-7</v>
          </cell>
          <cell r="M18">
            <v>0</v>
          </cell>
        </row>
        <row r="19">
          <cell r="K19">
            <v>0.09</v>
          </cell>
          <cell r="L19">
            <v>6.0172658867588474E-7</v>
          </cell>
          <cell r="M19">
            <v>0</v>
          </cell>
        </row>
        <row r="20">
          <cell r="K20">
            <v>9.9999999999999992E-2</v>
          </cell>
          <cell r="L20">
            <v>1.0101679798985422E-6</v>
          </cell>
          <cell r="M20">
            <v>0</v>
          </cell>
        </row>
        <row r="21">
          <cell r="K21">
            <v>0.10999999999999999</v>
          </cell>
          <cell r="L21">
            <v>1.614082715072134E-6</v>
          </cell>
          <cell r="M21">
            <v>0</v>
          </cell>
        </row>
        <row r="22">
          <cell r="K22">
            <v>0.11999999999999998</v>
          </cell>
          <cell r="L22">
            <v>2.4759172009420917E-6</v>
          </cell>
          <cell r="M22">
            <v>0</v>
          </cell>
        </row>
        <row r="23">
          <cell r="K23">
            <v>0.12999999999999998</v>
          </cell>
          <cell r="L23">
            <v>3.6699914408553985E-6</v>
          </cell>
          <cell r="M23">
            <v>0</v>
          </cell>
        </row>
        <row r="24">
          <cell r="K24">
            <v>0.13999999999999999</v>
          </cell>
          <cell r="L24">
            <v>5.2834855770747396E-6</v>
          </cell>
          <cell r="M24">
            <v>0</v>
          </cell>
        </row>
        <row r="25">
          <cell r="K25">
            <v>0.15</v>
          </cell>
          <cell r="L25">
            <v>7.4174196162602682E-6</v>
          </cell>
          <cell r="M25">
            <v>0</v>
          </cell>
        </row>
        <row r="26">
          <cell r="K26">
            <v>0.16</v>
          </cell>
          <cell r="L26">
            <v>1.0187626907779684E-5</v>
          </cell>
          <cell r="M26">
            <v>0</v>
          </cell>
        </row>
        <row r="27">
          <cell r="K27">
            <v>0.17</v>
          </cell>
          <cell r="L27">
            <v>1.3725721859285342E-5</v>
          </cell>
          <cell r="M27">
            <v>0</v>
          </cell>
        </row>
        <row r="28">
          <cell r="K28">
            <v>0.18000000000000002</v>
          </cell>
          <cell r="L28">
            <v>1.8180062306418182E-5</v>
          </cell>
          <cell r="M28">
            <v>0</v>
          </cell>
        </row>
        <row r="29">
          <cell r="K29">
            <v>0.19000000000000003</v>
          </cell>
          <cell r="L29">
            <v>2.3716706899025252E-5</v>
          </cell>
          <cell r="M29">
            <v>0</v>
          </cell>
        </row>
        <row r="30">
          <cell r="K30">
            <v>0.20000000000000004</v>
          </cell>
          <cell r="L30">
            <v>3.0520367821732076E-5</v>
          </cell>
          <cell r="M30">
            <v>0</v>
          </cell>
        </row>
        <row r="31">
          <cell r="K31">
            <v>0.21000000000000005</v>
          </cell>
          <cell r="L31">
            <v>3.8795359129833568E-5</v>
          </cell>
          <cell r="M31">
            <v>0</v>
          </cell>
        </row>
        <row r="32">
          <cell r="K32">
            <v>0.22000000000000006</v>
          </cell>
          <cell r="L32">
            <v>4.876654095059433E-5</v>
          </cell>
          <cell r="M32">
            <v>0</v>
          </cell>
        </row>
        <row r="33">
          <cell r="K33">
            <v>0.23000000000000007</v>
          </cell>
          <cell r="L33">
            <v>6.0680259773953333E-5</v>
          </cell>
          <cell r="M33">
            <v>0</v>
          </cell>
        </row>
        <row r="34">
          <cell r="K34">
            <v>0.24000000000000007</v>
          </cell>
          <cell r="L34">
            <v>7.4805285034371756E-5</v>
          </cell>
          <cell r="M34">
            <v>0</v>
          </cell>
        </row>
        <row r="35">
          <cell r="K35">
            <v>0.25000000000000006</v>
          </cell>
          <cell r="L35">
            <v>9.14337421664403E-5</v>
          </cell>
          <cell r="M35">
            <v>0</v>
          </cell>
        </row>
        <row r="36">
          <cell r="K36">
            <v>0.26000000000000006</v>
          </cell>
          <cell r="L36">
            <v>1.1088204230029643E-4</v>
          </cell>
          <cell r="M36">
            <v>0</v>
          </cell>
        </row>
        <row r="37">
          <cell r="K37">
            <v>0.27000000000000007</v>
          </cell>
          <cell r="L37">
            <v>1.3349180874848546E-4</v>
          </cell>
          <cell r="M37">
            <v>0</v>
          </cell>
        </row>
        <row r="38">
          <cell r="K38">
            <v>0.28000000000000008</v>
          </cell>
          <cell r="L38">
            <v>1.5963080042324593E-4</v>
          </cell>
          <cell r="M38">
            <v>0</v>
          </cell>
        </row>
        <row r="39">
          <cell r="K39">
            <v>0.29000000000000009</v>
          </cell>
          <cell r="L39">
            <v>1.8969383231206316E-4</v>
          </cell>
          <cell r="M39">
            <v>0</v>
          </cell>
        </row>
        <row r="40">
          <cell r="K40">
            <v>0.3000000000000001</v>
          </cell>
          <cell r="L40">
            <v>2.2410369312946449E-4</v>
          </cell>
          <cell r="M40">
            <v>0</v>
          </cell>
        </row>
        <row r="41">
          <cell r="K41">
            <v>0.31000000000000011</v>
          </cell>
          <cell r="L41">
            <v>2.6331206025424731E-4</v>
          </cell>
          <cell r="M41">
            <v>0</v>
          </cell>
        </row>
        <row r="42">
          <cell r="K42">
            <v>0.32000000000000012</v>
          </cell>
          <cell r="L42">
            <v>3.0780041205348861E-4</v>
          </cell>
          <cell r="M42">
            <v>0</v>
          </cell>
        </row>
        <row r="43">
          <cell r="K43">
            <v>0.33000000000000013</v>
          </cell>
          <cell r="L43">
            <v>3.5808093768763895E-4</v>
          </cell>
          <cell r="M43">
            <v>0</v>
          </cell>
        </row>
        <row r="44">
          <cell r="K44">
            <v>0.34000000000000014</v>
          </cell>
          <cell r="L44">
            <v>4.1469744448467943E-4</v>
          </cell>
          <cell r="M44">
            <v>0</v>
          </cell>
        </row>
        <row r="45">
          <cell r="K45">
            <v>0.35000000000000014</v>
          </cell>
          <cell r="L45">
            <v>4.7822626296556978E-4</v>
          </cell>
          <cell r="M45">
            <v>0</v>
          </cell>
        </row>
        <row r="46">
          <cell r="K46">
            <v>0.36000000000000015</v>
          </cell>
          <cell r="L46">
            <v>5.4927714959804807E-4</v>
          </cell>
          <cell r="M46">
            <v>0</v>
          </cell>
        </row>
        <row r="47">
          <cell r="K47">
            <v>0.37000000000000016</v>
          </cell>
          <cell r="L47">
            <v>6.2849418735111059E-4</v>
          </cell>
          <cell r="M47">
            <v>0</v>
          </cell>
        </row>
        <row r="48">
          <cell r="K48">
            <v>0.38000000000000017</v>
          </cell>
          <cell r="L48">
            <v>7.1655668411818173E-4</v>
          </cell>
          <cell r="M48">
            <v>0</v>
          </cell>
        </row>
        <row r="49">
          <cell r="K49">
            <v>0.39000000000000018</v>
          </cell>
          <cell r="L49">
            <v>8.1418006907309063E-4</v>
          </cell>
          <cell r="M49">
            <v>0</v>
          </cell>
        </row>
        <row r="50">
          <cell r="K50">
            <v>0.40000000000000019</v>
          </cell>
          <cell r="L50">
            <v>9.2211678701929734E-4</v>
          </cell>
          <cell r="M50">
            <v>0</v>
          </cell>
        </row>
        <row r="51">
          <cell r="K51">
            <v>0.4100000000000002</v>
          </cell>
          <cell r="L51">
            <v>1.0411571907895719E-3</v>
          </cell>
          <cell r="M51">
            <v>0</v>
          </cell>
        </row>
        <row r="52">
          <cell r="K52">
            <v>0.42000000000000021</v>
          </cell>
          <cell r="L52">
            <v>1.1721304317502065E-3</v>
          </cell>
          <cell r="M52">
            <v>0</v>
          </cell>
        </row>
        <row r="53">
          <cell r="K53">
            <v>0.43000000000000022</v>
          </cell>
          <cell r="L53">
            <v>1.3159053484610714E-3</v>
          </cell>
          <cell r="M53">
            <v>0</v>
          </cell>
        </row>
        <row r="54">
          <cell r="K54">
            <v>0.44000000000000022</v>
          </cell>
          <cell r="L54">
            <v>1.4733913535402172E-3</v>
          </cell>
          <cell r="M54">
            <v>0</v>
          </cell>
        </row>
        <row r="55">
          <cell r="K55">
            <v>0.45000000000000023</v>
          </cell>
          <cell r="L55">
            <v>1.6455393187792529E-3</v>
          </cell>
          <cell r="M55">
            <v>0</v>
          </cell>
        </row>
        <row r="56">
          <cell r="K56">
            <v>0.46000000000000024</v>
          </cell>
          <cell r="L56">
            <v>1.83334245855359E-3</v>
          </cell>
          <cell r="M56">
            <v>0</v>
          </cell>
        </row>
        <row r="57">
          <cell r="K57">
            <v>0.47000000000000025</v>
          </cell>
          <cell r="L57">
            <v>2.0378372115694597E-3</v>
          </cell>
          <cell r="M57">
            <v>0</v>
          </cell>
        </row>
        <row r="58">
          <cell r="K58">
            <v>0.48000000000000026</v>
          </cell>
          <cell r="L58">
            <v>2.2601041209877218E-3</v>
          </cell>
          <cell r="M58">
            <v>0</v>
          </cell>
        </row>
        <row r="59">
          <cell r="K59">
            <v>0.49000000000000027</v>
          </cell>
          <cell r="L59">
            <v>2.5012687129626872E-3</v>
          </cell>
          <cell r="M59">
            <v>0</v>
          </cell>
        </row>
        <row r="60">
          <cell r="K60">
            <v>0.50000000000000022</v>
          </cell>
          <cell r="L60">
            <v>2.7625023736323998E-3</v>
          </cell>
          <cell r="M60">
            <v>0</v>
          </cell>
        </row>
        <row r="61">
          <cell r="K61">
            <v>0.51000000000000023</v>
          </cell>
          <cell r="L61">
            <v>3.0450232245953822E-3</v>
          </cell>
          <cell r="M61">
            <v>0</v>
          </cell>
        </row>
        <row r="62">
          <cell r="K62">
            <v>0.52000000000000024</v>
          </cell>
          <cell r="L62">
            <v>3.350096996907183E-3</v>
          </cell>
          <cell r="M62">
            <v>0</v>
          </cell>
        </row>
        <row r="63">
          <cell r="K63">
            <v>0.53000000000000025</v>
          </cell>
          <cell r="L63">
            <v>3.6790379036288532E-3</v>
          </cell>
          <cell r="M63">
            <v>0</v>
          </cell>
        </row>
        <row r="64">
          <cell r="K64">
            <v>0.54000000000000026</v>
          </cell>
          <cell r="L64">
            <v>4.0332095109580565E-3</v>
          </cell>
          <cell r="M64">
            <v>0</v>
          </cell>
        </row>
        <row r="65">
          <cell r="K65">
            <v>0.55000000000000027</v>
          </cell>
          <cell r="L65">
            <v>4.4140256079722813E-3</v>
          </cell>
          <cell r="M65">
            <v>0</v>
          </cell>
        </row>
        <row r="66">
          <cell r="K66">
            <v>0.56000000000000028</v>
          </cell>
          <cell r="L66">
            <v>4.8229510750125828E-3</v>
          </cell>
          <cell r="M66">
            <v>0</v>
          </cell>
        </row>
        <row r="67">
          <cell r="K67">
            <v>0.57000000000000028</v>
          </cell>
          <cell r="L67">
            <v>5.2615027507350127E-3</v>
          </cell>
          <cell r="M67">
            <v>0</v>
          </cell>
        </row>
        <row r="68">
          <cell r="K68">
            <v>0.58000000000000029</v>
          </cell>
          <cell r="L68">
            <v>5.7312502978560161E-3</v>
          </cell>
          <cell r="M68">
            <v>0</v>
          </cell>
        </row>
        <row r="69">
          <cell r="K69">
            <v>0.5900000000000003</v>
          </cell>
          <cell r="L69">
            <v>6.23381706761705E-3</v>
          </cell>
          <cell r="M69">
            <v>0</v>
          </cell>
        </row>
        <row r="70">
          <cell r="K70">
            <v>0.60000000000000031</v>
          </cell>
          <cell r="L70">
            <v>6.7708809629926925E-3</v>
          </cell>
          <cell r="M70">
            <v>0</v>
          </cell>
        </row>
        <row r="71">
          <cell r="K71">
            <v>0.61000000000000032</v>
          </cell>
          <cell r="L71">
            <v>7.344175300665735E-3</v>
          </cell>
          <cell r="M71">
            <v>0</v>
          </cell>
        </row>
        <row r="72">
          <cell r="K72">
            <v>0.62000000000000033</v>
          </cell>
          <cell r="L72">
            <v>7.9554896717918683E-3</v>
          </cell>
          <cell r="M72">
            <v>0</v>
          </cell>
        </row>
        <row r="73">
          <cell r="K73">
            <v>0.63000000000000034</v>
          </cell>
          <cell r="L73">
            <v>8.6066708015757973E-3</v>
          </cell>
          <cell r="M73">
            <v>0</v>
          </cell>
        </row>
        <row r="74">
          <cell r="K74">
            <v>0.64000000000000035</v>
          </cell>
          <cell r="L74">
            <v>9.2996234076798603E-3</v>
          </cell>
          <cell r="M74">
            <v>0</v>
          </cell>
        </row>
        <row r="75">
          <cell r="K75">
            <v>0.65000000000000036</v>
          </cell>
          <cell r="L75">
            <v>1.00363110574856E-2</v>
          </cell>
          <cell r="M75">
            <v>0</v>
          </cell>
        </row>
        <row r="76">
          <cell r="K76">
            <v>0.66000000000000036</v>
          </cell>
          <cell r="L76">
            <v>1.0818757024227896E-2</v>
          </cell>
          <cell r="M76">
            <v>0</v>
          </cell>
        </row>
        <row r="77">
          <cell r="K77">
            <v>0.67000000000000037</v>
          </cell>
          <cell r="L77">
            <v>1.164904514202081E-2</v>
          </cell>
          <cell r="M77">
            <v>0</v>
          </cell>
        </row>
        <row r="78">
          <cell r="K78">
            <v>0.68000000000000038</v>
          </cell>
          <cell r="L78">
            <v>1.2529320659793553E-2</v>
          </cell>
          <cell r="M78">
            <v>0</v>
          </cell>
        </row>
        <row r="79">
          <cell r="K79">
            <v>0.69000000000000039</v>
          </cell>
          <cell r="L79">
            <v>1.3461791094154484E-2</v>
          </cell>
          <cell r="M79">
            <v>0</v>
          </cell>
        </row>
        <row r="80">
          <cell r="K80">
            <v>0.7000000000000004</v>
          </cell>
          <cell r="L80">
            <v>1.4448727081200376E-2</v>
          </cell>
          <cell r="M80">
            <v>0</v>
          </cell>
        </row>
        <row r="81">
          <cell r="K81">
            <v>0.71000000000000041</v>
          </cell>
          <cell r="L81">
            <v>1.5492463227287988E-2</v>
          </cell>
          <cell r="M81">
            <v>0</v>
          </cell>
        </row>
        <row r="82">
          <cell r="K82">
            <v>0.72000000000000042</v>
          </cell>
          <cell r="L82">
            <v>1.6595398958783779E-2</v>
          </cell>
          <cell r="M82">
            <v>0</v>
          </cell>
        </row>
        <row r="83">
          <cell r="K83">
            <v>0.73000000000000043</v>
          </cell>
          <cell r="L83">
            <v>1.7759999370808032E-2</v>
          </cell>
          <cell r="M83">
            <v>0</v>
          </cell>
        </row>
        <row r="84">
          <cell r="K84">
            <v>0.74000000000000044</v>
          </cell>
          <cell r="L84">
            <v>1.8988796074988469E-2</v>
          </cell>
          <cell r="M84">
            <v>0</v>
          </cell>
        </row>
        <row r="85">
          <cell r="K85">
            <v>0.75000000000000044</v>
          </cell>
          <cell r="L85">
            <v>2.0284388046238121E-2</v>
          </cell>
          <cell r="M85">
            <v>0</v>
          </cell>
        </row>
        <row r="86">
          <cell r="K86">
            <v>0.76000000000000045</v>
          </cell>
          <cell r="L86">
            <v>2.1649442468572477E-2</v>
          </cell>
          <cell r="M86">
            <v>0</v>
          </cell>
        </row>
        <row r="87">
          <cell r="K87">
            <v>0.77000000000000046</v>
          </cell>
          <cell r="L87">
            <v>2.3086695579979156E-2</v>
          </cell>
          <cell r="M87">
            <v>0</v>
          </cell>
        </row>
        <row r="88">
          <cell r="K88">
            <v>0.78000000000000047</v>
          </cell>
          <cell r="L88">
            <v>2.4598953516354452E-2</v>
          </cell>
          <cell r="M88">
            <v>0</v>
          </cell>
        </row>
        <row r="89">
          <cell r="K89">
            <v>0.79000000000000048</v>
          </cell>
          <cell r="L89">
            <v>2.6189093154519814E-2</v>
          </cell>
          <cell r="M89">
            <v>0</v>
          </cell>
        </row>
        <row r="90">
          <cell r="K90">
            <v>0.80000000000000049</v>
          </cell>
          <cell r="L90">
            <v>2.786006295433097E-2</v>
          </cell>
          <cell r="M90">
            <v>0</v>
          </cell>
        </row>
        <row r="91">
          <cell r="K91">
            <v>0.8100000000000005</v>
          </cell>
          <cell r="L91">
            <v>2.9614883799892772E-2</v>
          </cell>
          <cell r="M91">
            <v>0</v>
          </cell>
        </row>
        <row r="92">
          <cell r="K92">
            <v>0.82000000000000051</v>
          </cell>
          <cell r="L92">
            <v>3.14566498398915E-2</v>
          </cell>
          <cell r="M92">
            <v>0</v>
          </cell>
        </row>
        <row r="93">
          <cell r="K93">
            <v>0.83000000000000052</v>
          </cell>
          <cell r="L93">
            <v>3.3388529327056965E-2</v>
          </cell>
          <cell r="M93">
            <v>0</v>
          </cell>
        </row>
        <row r="94">
          <cell r="K94">
            <v>0.84000000000000052</v>
          </cell>
          <cell r="L94">
            <v>3.5413765456765799E-2</v>
          </cell>
          <cell r="M94">
            <v>0</v>
          </cell>
        </row>
        <row r="95">
          <cell r="K95">
            <v>0.85000000000000053</v>
          </cell>
          <cell r="L95">
            <v>3.7535677204797314E-2</v>
          </cell>
          <cell r="M95">
            <v>0</v>
          </cell>
        </row>
        <row r="96">
          <cell r="K96">
            <v>0.86000000000000054</v>
          </cell>
          <cell r="L96">
            <v>3.9757660164253208E-2</v>
          </cell>
          <cell r="M96">
            <v>0</v>
          </cell>
        </row>
        <row r="97">
          <cell r="K97">
            <v>0.87000000000000055</v>
          </cell>
          <cell r="L97">
            <v>4.2083187381651462E-2</v>
          </cell>
          <cell r="M97">
            <v>0</v>
          </cell>
        </row>
        <row r="98">
          <cell r="K98">
            <v>0.88000000000000056</v>
          </cell>
          <cell r="L98">
            <v>4.4515810192205386E-2</v>
          </cell>
          <cell r="M98">
            <v>0</v>
          </cell>
        </row>
        <row r="99">
          <cell r="K99">
            <v>0.89000000000000057</v>
          </cell>
          <cell r="L99">
            <v>4.7059159054297806E-2</v>
          </cell>
          <cell r="M99">
            <v>0</v>
          </cell>
        </row>
        <row r="100">
          <cell r="K100">
            <v>0.90000000000000058</v>
          </cell>
          <cell r="L100">
            <v>4.971694438316028E-2</v>
          </cell>
          <cell r="M100">
            <v>0</v>
          </cell>
        </row>
        <row r="101">
          <cell r="K101">
            <v>0.91000000000000059</v>
          </cell>
          <cell r="L101">
            <v>5.2492957383767781E-2</v>
          </cell>
          <cell r="M101">
            <v>0</v>
          </cell>
        </row>
        <row r="102">
          <cell r="K102">
            <v>0.9200000000000006</v>
          </cell>
          <cell r="L102">
            <v>5.5391070882957472E-2</v>
          </cell>
          <cell r="M102">
            <v>0</v>
          </cell>
        </row>
        <row r="103">
          <cell r="K103">
            <v>0.9300000000000006</v>
          </cell>
          <cell r="L103">
            <v>5.8415240160781576E-2</v>
          </cell>
          <cell r="M103">
            <v>0</v>
          </cell>
        </row>
        <row r="104">
          <cell r="K104">
            <v>0.94000000000000061</v>
          </cell>
          <cell r="L104">
            <v>6.156950378110318E-2</v>
          </cell>
          <cell r="M104">
            <v>0</v>
          </cell>
        </row>
        <row r="105">
          <cell r="K105">
            <v>0.95000000000000062</v>
          </cell>
          <cell r="L105">
            <v>6.4857984421444012E-2</v>
          </cell>
          <cell r="M105">
            <v>0</v>
          </cell>
        </row>
        <row r="106">
          <cell r="K106">
            <v>0.96000000000000063</v>
          </cell>
          <cell r="L106">
            <v>6.8284889702092635E-2</v>
          </cell>
          <cell r="M106">
            <v>0</v>
          </cell>
        </row>
        <row r="107">
          <cell r="K107">
            <v>0.97000000000000064</v>
          </cell>
          <cell r="L107">
            <v>7.1854513014482022E-2</v>
          </cell>
          <cell r="M107">
            <v>0</v>
          </cell>
        </row>
        <row r="108">
          <cell r="K108">
            <v>0.98000000000000065</v>
          </cell>
          <cell r="L108">
            <v>7.5571234348844427E-2</v>
          </cell>
          <cell r="M108">
            <v>0</v>
          </cell>
        </row>
        <row r="109">
          <cell r="K109">
            <v>0.99000000000000066</v>
          </cell>
          <cell r="L109">
            <v>7.9439521121151796E-2</v>
          </cell>
          <cell r="M109">
            <v>0</v>
          </cell>
        </row>
        <row r="110">
          <cell r="K110">
            <v>1.0000000000000007</v>
          </cell>
          <cell r="L110">
            <v>8.346392899935004E-2</v>
          </cell>
          <cell r="M110">
            <v>6.6613381477509392E-16</v>
          </cell>
        </row>
        <row r="111">
          <cell r="K111">
            <v>1.0100000000000007</v>
          </cell>
          <cell r="L111">
            <v>8.7649102728894035E-2</v>
          </cell>
          <cell r="M111">
            <v>1.0000000000000675E-2</v>
          </cell>
        </row>
        <row r="112">
          <cell r="K112">
            <v>1.0200000000000007</v>
          </cell>
          <cell r="L112">
            <v>9.1999776957592552E-2</v>
          </cell>
          <cell r="M112">
            <v>2.0000000000000684E-2</v>
          </cell>
        </row>
        <row r="113">
          <cell r="K113">
            <v>1.0300000000000007</v>
          </cell>
          <cell r="L113">
            <v>9.6520777059768983E-2</v>
          </cell>
          <cell r="M113">
            <v>3.0000000000000693E-2</v>
          </cell>
        </row>
        <row r="114">
          <cell r="K114">
            <v>1.0400000000000007</v>
          </cell>
          <cell r="L114">
            <v>0.10121701995974611</v>
          </cell>
          <cell r="M114">
            <v>4.0000000000000702E-2</v>
          </cell>
        </row>
        <row r="115">
          <cell r="K115">
            <v>1.0500000000000007</v>
          </cell>
          <cell r="L115">
            <v>0.1060935149546619</v>
          </cell>
          <cell r="M115">
            <v>5.0000000000000711E-2</v>
          </cell>
        </row>
        <row r="116">
          <cell r="K116">
            <v>1.0600000000000007</v>
          </cell>
          <cell r="L116">
            <v>0.11115536453662314</v>
          </cell>
          <cell r="M116">
            <v>6.0000000000000719E-2</v>
          </cell>
        </row>
        <row r="117">
          <cell r="K117">
            <v>1.0700000000000007</v>
          </cell>
          <cell r="L117">
            <v>0.11640776521420444</v>
          </cell>
          <cell r="M117">
            <v>7.0000000000000728E-2</v>
          </cell>
        </row>
        <row r="118">
          <cell r="K118">
            <v>1.0800000000000007</v>
          </cell>
          <cell r="L118">
            <v>0.12185600833329836</v>
          </cell>
          <cell r="M118">
            <v>8.0000000000000737E-2</v>
          </cell>
        </row>
        <row r="119">
          <cell r="K119">
            <v>1.0900000000000007</v>
          </cell>
          <cell r="L119">
            <v>0.12750548089732422</v>
          </cell>
          <cell r="M119">
            <v>9.0000000000000746E-2</v>
          </cell>
        </row>
        <row r="120">
          <cell r="K120">
            <v>1.1000000000000008</v>
          </cell>
          <cell r="L120">
            <v>0.13336166638680153</v>
          </cell>
          <cell r="M120">
            <v>0.10000000000000075</v>
          </cell>
        </row>
        <row r="121">
          <cell r="K121">
            <v>1.1100000000000008</v>
          </cell>
          <cell r="L121">
            <v>0.13943014557829436</v>
          </cell>
          <cell r="M121">
            <v>0.11000000000000076</v>
          </cell>
        </row>
        <row r="122">
          <cell r="K122">
            <v>1.1200000000000008</v>
          </cell>
          <cell r="L122">
            <v>0.14571659736273393</v>
          </cell>
          <cell r="M122">
            <v>0.12000000000000077</v>
          </cell>
        </row>
        <row r="123">
          <cell r="K123">
            <v>1.1300000000000008</v>
          </cell>
          <cell r="L123">
            <v>0.15222679956312349</v>
          </cell>
          <cell r="M123">
            <v>0.13000000000000078</v>
          </cell>
        </row>
        <row r="124">
          <cell r="K124">
            <v>1.1400000000000008</v>
          </cell>
          <cell r="L124">
            <v>0.15896662975163392</v>
          </cell>
          <cell r="M124">
            <v>0.14000000000000079</v>
          </cell>
        </row>
        <row r="125">
          <cell r="K125">
            <v>1.1500000000000008</v>
          </cell>
          <cell r="L125">
            <v>0.16594206606609402</v>
          </cell>
          <cell r="M125">
            <v>0.1500000000000008</v>
          </cell>
        </row>
        <row r="126">
          <cell r="K126">
            <v>1.1600000000000008</v>
          </cell>
          <cell r="L126">
            <v>0.17315918802588195</v>
          </cell>
          <cell r="M126">
            <v>0.16000000000000081</v>
          </cell>
        </row>
        <row r="127">
          <cell r="K127">
            <v>1.1700000000000008</v>
          </cell>
          <cell r="L127">
            <v>0.18062417734722469</v>
          </cell>
          <cell r="M127">
            <v>0.17000000000000082</v>
          </cell>
        </row>
        <row r="128">
          <cell r="K128">
            <v>1.1800000000000008</v>
          </cell>
          <cell r="L128">
            <v>0.18834331875790838</v>
          </cell>
          <cell r="M128">
            <v>0.18000000000000083</v>
          </cell>
        </row>
        <row r="129">
          <cell r="K129">
            <v>1.1900000000000008</v>
          </cell>
          <cell r="L129">
            <v>0.19632300081140802</v>
          </cell>
          <cell r="M129">
            <v>0.19000000000000083</v>
          </cell>
        </row>
        <row r="130">
          <cell r="K130">
            <v>1.2000000000000008</v>
          </cell>
          <cell r="L130">
            <v>0.20456971670043977</v>
          </cell>
          <cell r="M130">
            <v>0.20000000000000084</v>
          </cell>
        </row>
        <row r="131">
          <cell r="K131">
            <v>1.2100000000000009</v>
          </cell>
          <cell r="L131">
            <v>0.21309006506994227</v>
          </cell>
          <cell r="M131">
            <v>0.21000000000000085</v>
          </cell>
        </row>
        <row r="132">
          <cell r="K132">
            <v>1.2200000000000009</v>
          </cell>
          <cell r="L132">
            <v>0.2218907508294912</v>
          </cell>
          <cell r="M132">
            <v>0.22000000000000086</v>
          </cell>
        </row>
        <row r="133">
          <cell r="K133">
            <v>1.2300000000000009</v>
          </cell>
          <cell r="L133">
            <v>0.23097858596515408</v>
          </cell>
          <cell r="M133">
            <v>0.23000000000000087</v>
          </cell>
        </row>
        <row r="134">
          <cell r="K134">
            <v>1.2400000000000009</v>
          </cell>
          <cell r="L134">
            <v>0.24036049035078766</v>
          </cell>
          <cell r="M134">
            <v>0.24000000000000088</v>
          </cell>
        </row>
        <row r="135">
          <cell r="K135">
            <v>1.2500000000000009</v>
          </cell>
          <cell r="L135">
            <v>0.25004349255878505</v>
          </cell>
          <cell r="M135">
            <v>0.25000000000000089</v>
          </cell>
        </row>
        <row r="136">
          <cell r="K136">
            <v>1.2600000000000009</v>
          </cell>
          <cell r="L136">
            <v>0.2600000000000009</v>
          </cell>
          <cell r="M136">
            <v>0.2600000000000009</v>
          </cell>
        </row>
        <row r="137">
          <cell r="K137">
            <v>1.2700000000000009</v>
          </cell>
          <cell r="L137">
            <v>0.27000000000000091</v>
          </cell>
          <cell r="M137">
            <v>0.27000000000000091</v>
          </cell>
        </row>
        <row r="138">
          <cell r="K138">
            <v>1.2800000000000009</v>
          </cell>
          <cell r="L138">
            <v>0.28000000000000091</v>
          </cell>
          <cell r="M138">
            <v>0.28000000000000091</v>
          </cell>
        </row>
        <row r="139">
          <cell r="K139">
            <v>1.2900000000000009</v>
          </cell>
          <cell r="L139">
            <v>0.29000000000000092</v>
          </cell>
          <cell r="M139">
            <v>0.29000000000000092</v>
          </cell>
        </row>
        <row r="140">
          <cell r="K140">
            <v>1.3000000000000009</v>
          </cell>
          <cell r="L140">
            <v>0.30000000000000093</v>
          </cell>
          <cell r="M140">
            <v>0.30000000000000093</v>
          </cell>
        </row>
        <row r="141">
          <cell r="K141">
            <v>1.3100000000000009</v>
          </cell>
          <cell r="L141">
            <v>0.31000000000000094</v>
          </cell>
          <cell r="M141">
            <v>0.31000000000000094</v>
          </cell>
        </row>
        <row r="142">
          <cell r="K142">
            <v>1.320000000000001</v>
          </cell>
          <cell r="L142">
            <v>0.32000000000000095</v>
          </cell>
          <cell r="M142">
            <v>0.32000000000000095</v>
          </cell>
        </row>
        <row r="143">
          <cell r="K143">
            <v>1.330000000000001</v>
          </cell>
          <cell r="L143">
            <v>0.33000000000000096</v>
          </cell>
          <cell r="M143">
            <v>0.33000000000000096</v>
          </cell>
        </row>
        <row r="144">
          <cell r="K144">
            <v>1.340000000000001</v>
          </cell>
          <cell r="L144">
            <v>0.34000000000000097</v>
          </cell>
          <cell r="M144">
            <v>0.34000000000000097</v>
          </cell>
        </row>
        <row r="145">
          <cell r="K145">
            <v>1.350000000000001</v>
          </cell>
          <cell r="L145">
            <v>0.35000000000000098</v>
          </cell>
          <cell r="M145">
            <v>0.35000000000000098</v>
          </cell>
        </row>
        <row r="146">
          <cell r="K146">
            <v>1.360000000000001</v>
          </cell>
          <cell r="L146">
            <v>0.36000000000000099</v>
          </cell>
          <cell r="M146">
            <v>0.36000000000000099</v>
          </cell>
        </row>
        <row r="147">
          <cell r="K147">
            <v>1.370000000000001</v>
          </cell>
          <cell r="L147">
            <v>0.37000000000000099</v>
          </cell>
          <cell r="M147">
            <v>0.37000000000000099</v>
          </cell>
        </row>
        <row r="148">
          <cell r="K148">
            <v>1.380000000000001</v>
          </cell>
          <cell r="L148">
            <v>0.380000000000001</v>
          </cell>
          <cell r="M148">
            <v>0.380000000000001</v>
          </cell>
        </row>
        <row r="149">
          <cell r="K149">
            <v>1.390000000000001</v>
          </cell>
          <cell r="L149">
            <v>0.39000000000000101</v>
          </cell>
          <cell r="M149">
            <v>0.39000000000000101</v>
          </cell>
        </row>
        <row r="150">
          <cell r="K150">
            <v>1.400000000000001</v>
          </cell>
          <cell r="L150">
            <v>0.40000000000000102</v>
          </cell>
          <cell r="M150">
            <v>0.40000000000000102</v>
          </cell>
        </row>
        <row r="151">
          <cell r="K151">
            <v>1.410000000000001</v>
          </cell>
          <cell r="L151">
            <v>0.41000000000000103</v>
          </cell>
          <cell r="M151">
            <v>0.41000000000000103</v>
          </cell>
        </row>
        <row r="152">
          <cell r="K152">
            <v>1.420000000000001</v>
          </cell>
          <cell r="L152">
            <v>0.42000000000000104</v>
          </cell>
          <cell r="M152">
            <v>0.42000000000000104</v>
          </cell>
        </row>
        <row r="153">
          <cell r="K153">
            <v>1.430000000000001</v>
          </cell>
          <cell r="L153">
            <v>0.43000000000000105</v>
          </cell>
          <cell r="M153">
            <v>0.43000000000000105</v>
          </cell>
        </row>
        <row r="154">
          <cell r="K154">
            <v>1.4400000000000011</v>
          </cell>
          <cell r="L154">
            <v>0.44000000000000106</v>
          </cell>
          <cell r="M154">
            <v>0.44000000000000106</v>
          </cell>
        </row>
        <row r="155">
          <cell r="K155">
            <v>1.4500000000000011</v>
          </cell>
          <cell r="L155">
            <v>0.45000000000000107</v>
          </cell>
          <cell r="M155">
            <v>0.45000000000000107</v>
          </cell>
        </row>
        <row r="156">
          <cell r="K156">
            <v>1.4600000000000011</v>
          </cell>
          <cell r="L156">
            <v>0.46000000000000107</v>
          </cell>
          <cell r="M156">
            <v>0.46000000000000107</v>
          </cell>
        </row>
        <row r="157">
          <cell r="K157">
            <v>1.4700000000000011</v>
          </cell>
          <cell r="L157">
            <v>0.47000000000000108</v>
          </cell>
          <cell r="M157">
            <v>0.47000000000000108</v>
          </cell>
        </row>
        <row r="158">
          <cell r="K158">
            <v>1.4800000000000011</v>
          </cell>
          <cell r="L158">
            <v>0.48000000000000109</v>
          </cell>
          <cell r="M158">
            <v>0.48000000000000109</v>
          </cell>
        </row>
        <row r="159">
          <cell r="K159">
            <v>1.4900000000000011</v>
          </cell>
          <cell r="L159">
            <v>0.4900000000000011</v>
          </cell>
          <cell r="M159">
            <v>0.4900000000000011</v>
          </cell>
        </row>
        <row r="160">
          <cell r="K160">
            <v>1.5000000000000011</v>
          </cell>
          <cell r="L160">
            <v>0.50000000000000111</v>
          </cell>
          <cell r="M160">
            <v>0.50000000000000111</v>
          </cell>
        </row>
        <row r="161">
          <cell r="K161">
            <v>1.5100000000000011</v>
          </cell>
          <cell r="L161">
            <v>0.51000000000000112</v>
          </cell>
          <cell r="M161">
            <v>0.51000000000000112</v>
          </cell>
        </row>
        <row r="162">
          <cell r="K162">
            <v>1.5200000000000011</v>
          </cell>
          <cell r="L162">
            <v>0.52000000000000113</v>
          </cell>
          <cell r="M162">
            <v>0.52000000000000113</v>
          </cell>
        </row>
        <row r="163">
          <cell r="K163">
            <v>1.5300000000000011</v>
          </cell>
          <cell r="L163">
            <v>0.53000000000000114</v>
          </cell>
          <cell r="M163">
            <v>0.53000000000000114</v>
          </cell>
        </row>
        <row r="164">
          <cell r="K164">
            <v>1.5400000000000011</v>
          </cell>
          <cell r="L164">
            <v>0.54000000000000115</v>
          </cell>
          <cell r="M164">
            <v>0.54000000000000115</v>
          </cell>
        </row>
        <row r="165">
          <cell r="K165">
            <v>1.5500000000000012</v>
          </cell>
          <cell r="L165">
            <v>0.55000000000000115</v>
          </cell>
          <cell r="M165">
            <v>0.55000000000000115</v>
          </cell>
        </row>
        <row r="166">
          <cell r="K166">
            <v>1.5600000000000012</v>
          </cell>
          <cell r="L166">
            <v>0.56000000000000116</v>
          </cell>
          <cell r="M166">
            <v>0.56000000000000116</v>
          </cell>
        </row>
        <row r="167">
          <cell r="K167">
            <v>1.5700000000000012</v>
          </cell>
          <cell r="L167">
            <v>0.57000000000000117</v>
          </cell>
          <cell r="M167">
            <v>0.57000000000000117</v>
          </cell>
        </row>
        <row r="168">
          <cell r="K168">
            <v>1.5800000000000012</v>
          </cell>
          <cell r="L168">
            <v>0.58000000000000118</v>
          </cell>
          <cell r="M168">
            <v>0.58000000000000118</v>
          </cell>
        </row>
        <row r="169">
          <cell r="K169">
            <v>1.5900000000000012</v>
          </cell>
          <cell r="L169">
            <v>0.59000000000000119</v>
          </cell>
          <cell r="M169">
            <v>0.59000000000000119</v>
          </cell>
        </row>
        <row r="170">
          <cell r="K170">
            <v>1.6000000000000012</v>
          </cell>
          <cell r="L170">
            <v>0.6000000000000012</v>
          </cell>
          <cell r="M170">
            <v>0.6000000000000012</v>
          </cell>
        </row>
        <row r="171">
          <cell r="K171">
            <v>1.6100000000000012</v>
          </cell>
          <cell r="L171">
            <v>0.61000000000000121</v>
          </cell>
          <cell r="M171">
            <v>0.61000000000000121</v>
          </cell>
        </row>
        <row r="172">
          <cell r="K172">
            <v>1.6200000000000012</v>
          </cell>
          <cell r="L172">
            <v>0.62000000000000122</v>
          </cell>
          <cell r="M172">
            <v>0.62000000000000122</v>
          </cell>
        </row>
        <row r="173">
          <cell r="K173">
            <v>1.6300000000000012</v>
          </cell>
          <cell r="L173">
            <v>0.63000000000000123</v>
          </cell>
          <cell r="M173">
            <v>0.63000000000000123</v>
          </cell>
        </row>
        <row r="174">
          <cell r="K174">
            <v>1.6400000000000012</v>
          </cell>
          <cell r="L174">
            <v>0.64000000000000123</v>
          </cell>
          <cell r="M174">
            <v>0.64000000000000123</v>
          </cell>
        </row>
        <row r="175">
          <cell r="K175">
            <v>1.6500000000000012</v>
          </cell>
          <cell r="L175">
            <v>0.65000000000000124</v>
          </cell>
          <cell r="M175">
            <v>0.65000000000000124</v>
          </cell>
        </row>
      </sheetData>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inom-SamMcK (2)"/>
      <sheetName val="Binom-SamMcK"/>
      <sheetName val="BinomExmpl (3)"/>
      <sheetName val="BinomExmpl (2)"/>
      <sheetName val="BinomExmpl"/>
      <sheetName val="DTA&amp;realoptions"/>
      <sheetName val="Black-Scholes"/>
      <sheetName val="Sam-McK Formula"/>
      <sheetName val="Charts"/>
      <sheetName val="Comparis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A7"/>
  <sheetViews>
    <sheetView tabSelected="1" workbookViewId="0"/>
  </sheetViews>
  <sheetFormatPr defaultRowHeight="15"/>
  <sheetData>
    <row r="1" spans="1:1">
      <c r="A1" t="s">
        <v>245</v>
      </c>
    </row>
    <row r="2" spans="1:1">
      <c r="A2" t="s">
        <v>109</v>
      </c>
    </row>
    <row r="4" spans="1:1">
      <c r="A4" t="s">
        <v>204</v>
      </c>
    </row>
    <row r="6" spans="1:1">
      <c r="A6" s="331"/>
    </row>
    <row r="7" spans="1:1">
      <c r="A7" s="331"/>
    </row>
  </sheetData>
  <phoneticPr fontId="2"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AL125"/>
  <sheetViews>
    <sheetView zoomScale="90" workbookViewId="0"/>
  </sheetViews>
  <sheetFormatPr defaultRowHeight="15"/>
  <cols>
    <col min="1" max="1" width="25.33203125" style="137" customWidth="1"/>
    <col min="2" max="2" width="11.5546875" style="137" customWidth="1"/>
    <col min="3" max="3" width="10.109375" style="137" customWidth="1"/>
    <col min="4" max="4" width="10.5546875" style="137" customWidth="1"/>
    <col min="5" max="5" width="8.88671875" style="137"/>
    <col min="6" max="6" width="10.109375" style="137" customWidth="1"/>
    <col min="7" max="7" width="8.88671875" style="137"/>
    <col min="8" max="8" width="9.88671875" style="137" bestFit="1" customWidth="1"/>
    <col min="9" max="9" width="8.88671875" style="137"/>
    <col min="10" max="10" width="9.88671875" style="137" bestFit="1" customWidth="1"/>
    <col min="11" max="12" width="8.88671875" style="137"/>
    <col min="13" max="13" width="10.5546875" style="137" customWidth="1"/>
    <col min="14" max="14" width="11.33203125" style="137" customWidth="1"/>
    <col min="15" max="15" width="8.88671875" style="138"/>
    <col min="16" max="16" width="9.88671875" style="137" bestFit="1" customWidth="1"/>
    <col min="17" max="18" width="8.88671875" style="137"/>
    <col min="19" max="19" width="9.88671875" style="137" bestFit="1" customWidth="1"/>
    <col min="20" max="16384" width="8.88671875" style="137"/>
  </cols>
  <sheetData>
    <row r="1" spans="1:38" ht="16.5" thickBot="1">
      <c r="A1" s="136" t="s">
        <v>205</v>
      </c>
      <c r="AI1" s="138"/>
      <c r="AJ1" s="138"/>
      <c r="AK1" s="138"/>
      <c r="AL1" s="138"/>
    </row>
    <row r="2" spans="1:38">
      <c r="A2" s="139" t="s">
        <v>58</v>
      </c>
      <c r="B2" s="140"/>
      <c r="C2" s="141" t="s">
        <v>0</v>
      </c>
      <c r="D2" s="142"/>
      <c r="E2" s="143"/>
      <c r="F2" s="144"/>
      <c r="G2" s="144"/>
      <c r="H2" s="142"/>
      <c r="AI2" s="138"/>
      <c r="AJ2" s="138"/>
      <c r="AK2" s="138"/>
      <c r="AL2" s="138"/>
    </row>
    <row r="3" spans="1:38">
      <c r="A3" s="145" t="s">
        <v>59</v>
      </c>
      <c r="B3" s="146">
        <v>1</v>
      </c>
      <c r="C3" s="147"/>
      <c r="D3" s="148"/>
      <c r="E3" s="147"/>
      <c r="F3" s="149"/>
      <c r="G3" s="150" t="s">
        <v>110</v>
      </c>
      <c r="H3" s="151" t="s">
        <v>111</v>
      </c>
      <c r="AI3" s="138"/>
      <c r="AJ3" s="138"/>
      <c r="AK3" s="138"/>
      <c r="AL3" s="138"/>
    </row>
    <row r="4" spans="1:38">
      <c r="A4" s="145" t="s">
        <v>60</v>
      </c>
      <c r="B4" s="152">
        <f>(1+0.03/12)^12-1</f>
        <v>3.0415956913506736E-2</v>
      </c>
      <c r="C4" s="147" t="s">
        <v>2</v>
      </c>
      <c r="D4" s="153">
        <f>B4*B$3</f>
        <v>3.0415956913506736E-2</v>
      </c>
      <c r="E4" s="147"/>
      <c r="F4" s="150" t="s">
        <v>112</v>
      </c>
      <c r="G4" s="154">
        <f>D11*((1+D6)*C21-B21)/B21+(1-D11)*((1+D6)*C22-B21)/B21</f>
        <v>9.3806897670984227E-2</v>
      </c>
      <c r="H4" s="153">
        <f>D11*(MAX(0,C21-C31)-B38)/B38+(1-D11)*(MAX(0,C22-C32)-B38)/B38</f>
        <v>0.20160155460334336</v>
      </c>
      <c r="AC4" s="155"/>
      <c r="AD4" s="155"/>
      <c r="AE4" s="155"/>
      <c r="AF4" s="155"/>
      <c r="AG4" s="155"/>
      <c r="AH4" s="155"/>
      <c r="AI4" s="138"/>
      <c r="AJ4" s="138"/>
      <c r="AK4" s="138"/>
      <c r="AL4" s="138"/>
    </row>
    <row r="5" spans="1:38">
      <c r="A5" s="145" t="s">
        <v>63</v>
      </c>
      <c r="B5" s="152">
        <f>(1+0.09/12)^12-1</f>
        <v>9.3806897670984268E-2</v>
      </c>
      <c r="C5" s="147" t="s">
        <v>65</v>
      </c>
      <c r="D5" s="153">
        <f>B5*B$3</f>
        <v>9.3806897670984268E-2</v>
      </c>
      <c r="E5" s="147"/>
      <c r="F5" s="150" t="s">
        <v>113</v>
      </c>
      <c r="G5" s="154">
        <f>((1+D6)*C21-B21)/B21</f>
        <v>0.2007361156177192</v>
      </c>
      <c r="H5" s="153">
        <f>(MAX(0,C21-C31)-B38)/B38</f>
        <v>0.49036114494842642</v>
      </c>
      <c r="AC5" s="155"/>
      <c r="AD5" s="155"/>
      <c r="AE5" s="155"/>
      <c r="AF5" s="155"/>
      <c r="AG5" s="155"/>
      <c r="AH5" s="155"/>
      <c r="AI5" s="138"/>
      <c r="AJ5" s="138"/>
      <c r="AK5" s="138"/>
      <c r="AL5" s="138"/>
    </row>
    <row r="6" spans="1:38">
      <c r="A6" s="145" t="s">
        <v>107</v>
      </c>
      <c r="B6" s="152">
        <f>B5</f>
        <v>9.3806897670984268E-2</v>
      </c>
      <c r="C6" s="147" t="s">
        <v>64</v>
      </c>
      <c r="D6" s="153">
        <f>B6*B$3</f>
        <v>9.3806897670984268E-2</v>
      </c>
      <c r="E6" s="147"/>
      <c r="F6" s="150" t="s">
        <v>114</v>
      </c>
      <c r="G6" s="154">
        <f>((1+D6)*C22-B21)/B21</f>
        <v>-1.3122320275750745E-2</v>
      </c>
      <c r="H6" s="153">
        <f>(MAX(0,C22-C32)-B38)/B38</f>
        <v>-8.7158035741739678E-2</v>
      </c>
      <c r="AC6" s="155"/>
      <c r="AD6" s="155"/>
      <c r="AE6" s="155"/>
      <c r="AF6" s="155"/>
      <c r="AG6" s="155"/>
      <c r="AH6" s="155"/>
      <c r="AI6" s="138"/>
      <c r="AJ6" s="138"/>
      <c r="AK6" s="138"/>
      <c r="AL6" s="138"/>
    </row>
    <row r="7" spans="1:38">
      <c r="A7" s="145" t="s">
        <v>62</v>
      </c>
      <c r="B7" s="152">
        <f>0</f>
        <v>0</v>
      </c>
      <c r="C7" s="147" t="s">
        <v>4</v>
      </c>
      <c r="D7" s="153">
        <f>B7*B$3</f>
        <v>0</v>
      </c>
      <c r="E7" s="147"/>
      <c r="F7" s="150" t="s">
        <v>115</v>
      </c>
      <c r="G7" s="154">
        <f>SQRT(D$11*(G5-G4)^2+(1-D$11)*(G6-G4)^2)</f>
        <v>0.10692921794673498</v>
      </c>
      <c r="H7" s="153">
        <f>SQRT(D$11*(H5-H4)^2+(1-D$11)*(H6-H4)^2)</f>
        <v>0.28875959034508303</v>
      </c>
      <c r="AC7" s="155"/>
      <c r="AD7" s="155"/>
      <c r="AE7" s="155"/>
      <c r="AF7" s="155"/>
      <c r="AG7" s="155"/>
      <c r="AH7" s="155"/>
      <c r="AI7" s="138"/>
      <c r="AJ7" s="138"/>
      <c r="AK7" s="138"/>
      <c r="AL7" s="138"/>
    </row>
    <row r="8" spans="1:38">
      <c r="A8" s="145"/>
      <c r="B8" s="156"/>
      <c r="C8" s="147" t="s">
        <v>105</v>
      </c>
      <c r="D8" s="153">
        <f>(1+D5)/(1+D6)-1</f>
        <v>0</v>
      </c>
      <c r="E8" s="147"/>
      <c r="F8" s="149"/>
      <c r="G8" s="149" t="s">
        <v>116</v>
      </c>
      <c r="H8" s="148"/>
      <c r="AC8" s="155"/>
      <c r="AD8" s="155"/>
      <c r="AE8" s="155"/>
      <c r="AF8" s="155"/>
      <c r="AG8" s="155"/>
      <c r="AH8" s="155"/>
      <c r="AI8" s="138"/>
      <c r="AJ8" s="138"/>
      <c r="AK8" s="138"/>
      <c r="AL8" s="138"/>
    </row>
    <row r="9" spans="1:38">
      <c r="A9" s="145" t="s">
        <v>61</v>
      </c>
      <c r="B9" s="157"/>
      <c r="C9" s="147" t="s">
        <v>3</v>
      </c>
      <c r="D9" s="153">
        <f>B9*SQRT(B$3)</f>
        <v>0</v>
      </c>
      <c r="E9" s="147"/>
      <c r="F9" s="150" t="s">
        <v>117</v>
      </c>
      <c r="G9" s="149">
        <f>H7/G7</f>
        <v>2.7004741630947291</v>
      </c>
      <c r="H9" s="148"/>
      <c r="AC9" s="155"/>
      <c r="AD9" s="155"/>
      <c r="AE9" s="155"/>
      <c r="AF9" s="155"/>
      <c r="AG9" s="155"/>
      <c r="AH9" s="155"/>
      <c r="AI9" s="138"/>
      <c r="AJ9" s="138"/>
      <c r="AK9" s="138"/>
      <c r="AL9" s="138"/>
    </row>
    <row r="10" spans="1:38">
      <c r="A10" s="145" t="s">
        <v>16</v>
      </c>
      <c r="B10" s="158">
        <v>10229261.175517492</v>
      </c>
      <c r="C10" s="147" t="s">
        <v>76</v>
      </c>
      <c r="D10" s="153">
        <f>(1+D4)/(1+D7)-1</f>
        <v>3.0415956913506736E-2</v>
      </c>
      <c r="E10" s="147"/>
      <c r="F10" s="159" t="s">
        <v>118</v>
      </c>
      <c r="G10" s="149">
        <f>(H4-D4)/(G4-D4)</f>
        <v>2.70047416309473</v>
      </c>
      <c r="H10" s="148"/>
      <c r="AC10" s="155"/>
      <c r="AD10" s="155"/>
      <c r="AE10" s="155"/>
      <c r="AF10" s="155"/>
      <c r="AG10" s="155"/>
      <c r="AH10" s="155"/>
      <c r="AI10" s="138"/>
      <c r="AJ10" s="138"/>
      <c r="AK10" s="138"/>
      <c r="AL10" s="138"/>
    </row>
    <row r="11" spans="1:38">
      <c r="A11" s="145" t="s">
        <v>17</v>
      </c>
      <c r="B11" s="158">
        <v>6068008.7192185838</v>
      </c>
      <c r="C11" s="147" t="s">
        <v>1</v>
      </c>
      <c r="D11" s="160">
        <v>0.5</v>
      </c>
      <c r="E11" s="147"/>
      <c r="F11" s="150" t="s">
        <v>119</v>
      </c>
      <c r="G11" s="149">
        <f>(H5-H6)/(G5-G6)</f>
        <v>2.7004741630947291</v>
      </c>
      <c r="H11" s="161"/>
      <c r="AC11" s="155"/>
      <c r="AD11" s="155"/>
      <c r="AE11" s="155"/>
      <c r="AF11" s="155"/>
      <c r="AG11" s="155"/>
      <c r="AH11" s="155"/>
      <c r="AI11" s="138"/>
      <c r="AJ11" s="138"/>
      <c r="AK11" s="138"/>
      <c r="AL11" s="138"/>
    </row>
    <row r="12" spans="1:38" s="155" customFormat="1">
      <c r="A12" s="145"/>
      <c r="B12" s="156"/>
      <c r="C12" s="162" t="s">
        <v>6</v>
      </c>
      <c r="D12" s="163">
        <f>C21/B24</f>
        <v>1.2007361156177194</v>
      </c>
      <c r="E12" s="147"/>
      <c r="F12" s="149"/>
      <c r="G12" s="149"/>
      <c r="H12" s="161"/>
      <c r="I12" s="137"/>
      <c r="J12" s="138"/>
      <c r="K12" s="138"/>
      <c r="L12" s="138"/>
      <c r="M12" s="138"/>
      <c r="N12" s="138"/>
      <c r="O12" s="138"/>
      <c r="P12" s="138"/>
      <c r="Q12" s="138"/>
      <c r="R12" s="138"/>
      <c r="S12" s="138"/>
      <c r="T12" s="164"/>
      <c r="U12" s="138"/>
      <c r="V12" s="138"/>
      <c r="W12" s="138"/>
      <c r="X12" s="138"/>
      <c r="Y12" s="164"/>
      <c r="Z12" s="138"/>
      <c r="AA12" s="138"/>
      <c r="AB12" s="138"/>
      <c r="AC12" s="138"/>
      <c r="AD12" s="138"/>
      <c r="AE12" s="138"/>
      <c r="AF12" s="138"/>
      <c r="AG12" s="138"/>
      <c r="AH12" s="138"/>
      <c r="AI12" s="138"/>
      <c r="AJ12" s="138"/>
      <c r="AK12" s="138"/>
      <c r="AL12" s="138"/>
    </row>
    <row r="13" spans="1:38" s="155" customFormat="1" ht="15.75" thickBot="1">
      <c r="A13" s="145"/>
      <c r="B13" s="156"/>
      <c r="C13" s="165" t="s">
        <v>15</v>
      </c>
      <c r="D13" s="166">
        <f>C22/B24</f>
        <v>0.98687767972424933</v>
      </c>
      <c r="E13" s="167"/>
      <c r="F13" s="149"/>
      <c r="G13" s="149"/>
      <c r="H13" s="148"/>
      <c r="I13" s="137"/>
      <c r="J13" s="138"/>
      <c r="K13" s="138"/>
      <c r="L13" s="138"/>
      <c r="M13" s="138"/>
      <c r="N13" s="138"/>
      <c r="O13" s="138"/>
      <c r="P13" s="138"/>
      <c r="Q13" s="138"/>
      <c r="R13" s="138"/>
      <c r="S13" s="138"/>
      <c r="T13" s="164"/>
      <c r="U13" s="138"/>
      <c r="V13" s="138"/>
      <c r="W13" s="138"/>
      <c r="X13" s="138"/>
      <c r="Y13" s="164"/>
      <c r="Z13" s="138"/>
      <c r="AA13" s="138"/>
      <c r="AB13" s="138"/>
      <c r="AC13" s="138"/>
      <c r="AD13" s="138"/>
      <c r="AE13" s="138"/>
      <c r="AF13" s="138"/>
      <c r="AG13" s="138"/>
      <c r="AH13" s="138"/>
      <c r="AI13" s="138"/>
      <c r="AJ13" s="138"/>
      <c r="AK13" s="138"/>
      <c r="AL13" s="138"/>
    </row>
    <row r="14" spans="1:38" s="155" customFormat="1" ht="16.5" thickBot="1">
      <c r="A14" s="168" t="s">
        <v>7</v>
      </c>
      <c r="B14" s="169"/>
      <c r="C14" s="170" t="s">
        <v>66</v>
      </c>
      <c r="D14" s="171">
        <f>B38</f>
        <v>3463088.4425516287</v>
      </c>
      <c r="E14" s="172"/>
      <c r="F14" s="173"/>
      <c r="G14" s="173"/>
      <c r="H14" s="174"/>
      <c r="I14" s="137"/>
      <c r="J14" s="138"/>
      <c r="K14" s="138"/>
      <c r="L14" s="138"/>
      <c r="M14" s="138"/>
      <c r="N14" s="138"/>
      <c r="O14" s="138"/>
      <c r="P14" s="138"/>
      <c r="Q14" s="138"/>
      <c r="R14" s="138"/>
      <c r="S14" s="138"/>
      <c r="T14" s="164"/>
      <c r="U14" s="138"/>
      <c r="V14" s="138"/>
      <c r="W14" s="138"/>
      <c r="X14" s="138"/>
      <c r="Y14" s="164"/>
      <c r="Z14" s="138"/>
      <c r="AA14" s="138"/>
      <c r="AB14" s="138"/>
      <c r="AC14" s="138"/>
      <c r="AD14" s="138"/>
      <c r="AE14" s="138"/>
      <c r="AF14" s="138"/>
      <c r="AG14" s="138"/>
      <c r="AH14" s="138"/>
      <c r="AI14" s="138"/>
      <c r="AJ14" s="138"/>
      <c r="AK14" s="138"/>
      <c r="AL14" s="138"/>
    </row>
    <row r="15" spans="1:38" s="155" customFormat="1" ht="15.75">
      <c r="A15" s="138"/>
      <c r="B15" s="138"/>
      <c r="C15" s="175"/>
      <c r="D15" s="176"/>
      <c r="H15" s="137"/>
      <c r="I15" s="137"/>
      <c r="J15" s="138"/>
      <c r="K15" s="138"/>
      <c r="L15" s="138"/>
      <c r="M15" s="138"/>
      <c r="N15" s="138"/>
      <c r="O15" s="138"/>
      <c r="P15" s="138"/>
      <c r="Q15" s="138"/>
      <c r="R15" s="138"/>
      <c r="S15" s="138"/>
      <c r="T15" s="164"/>
      <c r="U15" s="138"/>
      <c r="V15" s="138"/>
      <c r="W15" s="138"/>
      <c r="X15" s="138"/>
      <c r="Y15" s="164"/>
      <c r="Z15" s="138"/>
      <c r="AA15" s="138"/>
      <c r="AB15" s="138"/>
      <c r="AC15" s="138"/>
      <c r="AD15" s="138"/>
      <c r="AE15" s="138"/>
      <c r="AF15" s="138"/>
      <c r="AG15" s="138"/>
      <c r="AH15" s="138"/>
      <c r="AI15" s="138"/>
      <c r="AJ15" s="138"/>
      <c r="AK15" s="138"/>
      <c r="AL15" s="138"/>
    </row>
    <row r="16" spans="1:38" ht="15.75">
      <c r="A16" s="177" t="s">
        <v>120</v>
      </c>
      <c r="B16" s="178"/>
      <c r="C16" s="179"/>
      <c r="D16" s="180"/>
      <c r="F16" s="181" t="s">
        <v>121</v>
      </c>
      <c r="G16" s="181"/>
      <c r="H16" s="181"/>
      <c r="I16" s="181"/>
      <c r="J16" s="181"/>
      <c r="K16" s="181"/>
      <c r="L16" s="181"/>
      <c r="M16" s="181"/>
      <c r="N16" s="181"/>
      <c r="O16" s="181"/>
      <c r="P16" s="181"/>
      <c r="Q16" s="181"/>
      <c r="R16" s="181"/>
      <c r="W16" s="155"/>
      <c r="X16" s="138"/>
      <c r="Y16" s="138"/>
      <c r="Z16" s="138"/>
      <c r="AA16" s="138"/>
      <c r="AB16" s="138"/>
      <c r="AC16" s="138"/>
      <c r="AD16" s="138"/>
      <c r="AE16" s="138"/>
      <c r="AF16" s="138"/>
      <c r="AG16" s="138"/>
      <c r="AH16" s="138"/>
      <c r="AI16" s="138"/>
      <c r="AJ16" s="138"/>
      <c r="AK16" s="138"/>
      <c r="AL16" s="138"/>
    </row>
    <row r="17" spans="1:37" ht="15.75">
      <c r="A17" s="182"/>
      <c r="B17" s="183" t="s">
        <v>11</v>
      </c>
      <c r="C17" s="183"/>
      <c r="D17" s="184"/>
      <c r="E17" s="185"/>
      <c r="F17" s="181" t="s">
        <v>122</v>
      </c>
      <c r="G17" s="181"/>
      <c r="H17" s="181"/>
      <c r="I17" s="181"/>
      <c r="J17" s="181"/>
      <c r="K17" s="181"/>
      <c r="L17" s="181"/>
      <c r="M17" s="181"/>
      <c r="N17" s="181"/>
      <c r="O17" s="181"/>
      <c r="P17" s="181"/>
      <c r="Q17" s="181"/>
      <c r="R17" s="181"/>
      <c r="W17" s="155"/>
      <c r="X17" s="138"/>
      <c r="Y17" s="138"/>
      <c r="Z17" s="138"/>
      <c r="AA17" s="186"/>
      <c r="AB17" s="187"/>
      <c r="AC17" s="188"/>
      <c r="AD17" s="155"/>
    </row>
    <row r="18" spans="1:37" ht="15.75">
      <c r="A18" s="182"/>
      <c r="B18" s="183">
        <v>0</v>
      </c>
      <c r="C18" s="183">
        <v>1</v>
      </c>
      <c r="D18" s="184"/>
      <c r="E18" s="185"/>
      <c r="F18" s="181" t="s">
        <v>123</v>
      </c>
      <c r="G18" s="181"/>
      <c r="H18" s="181"/>
      <c r="I18" s="181"/>
      <c r="J18" s="181"/>
      <c r="K18" s="181"/>
      <c r="L18" s="181"/>
      <c r="M18" s="181"/>
      <c r="N18" s="181"/>
      <c r="O18" s="181"/>
      <c r="P18" s="181"/>
      <c r="Q18" s="181"/>
      <c r="R18" s="181"/>
      <c r="W18" s="155"/>
      <c r="X18" s="138"/>
      <c r="Y18" s="138"/>
      <c r="Z18" s="138"/>
      <c r="AA18" s="138"/>
      <c r="AB18" s="138"/>
      <c r="AC18" s="138"/>
      <c r="AD18" s="155"/>
    </row>
    <row r="19" spans="1:37" ht="15.75">
      <c r="A19" s="182"/>
      <c r="B19" s="189" t="s">
        <v>124</v>
      </c>
      <c r="C19" s="190">
        <f>D11*C21+(1-D11)*C22</f>
        <v>10229261.175517492</v>
      </c>
      <c r="D19" s="191"/>
      <c r="E19" s="192"/>
      <c r="F19" s="181" t="s">
        <v>125</v>
      </c>
      <c r="G19" s="181"/>
      <c r="H19" s="181"/>
      <c r="I19" s="181"/>
      <c r="J19" s="181"/>
      <c r="K19" s="181"/>
      <c r="L19" s="181"/>
      <c r="M19" s="181"/>
      <c r="N19" s="181"/>
      <c r="O19" s="181"/>
      <c r="P19" s="181"/>
      <c r="Q19" s="181"/>
      <c r="R19" s="181"/>
      <c r="W19" s="155"/>
      <c r="X19" s="138"/>
      <c r="Y19" s="138"/>
      <c r="Z19" s="138"/>
      <c r="AA19" s="138"/>
      <c r="AB19" s="138"/>
      <c r="AC19" s="138"/>
      <c r="AD19" s="155"/>
    </row>
    <row r="20" spans="1:37" ht="15.75">
      <c r="A20" s="193" t="s">
        <v>10</v>
      </c>
      <c r="B20" s="194" t="s">
        <v>126</v>
      </c>
      <c r="C20" s="194"/>
      <c r="D20" s="191"/>
      <c r="E20" s="195"/>
      <c r="F20" s="181" t="s">
        <v>127</v>
      </c>
      <c r="G20" s="181"/>
      <c r="H20" s="181"/>
      <c r="I20" s="181"/>
      <c r="J20" s="181"/>
      <c r="K20" s="181"/>
      <c r="L20" s="181"/>
      <c r="M20" s="181"/>
      <c r="N20" s="181"/>
      <c r="O20" s="181"/>
      <c r="P20" s="181"/>
      <c r="Q20" s="181"/>
      <c r="R20" s="181"/>
      <c r="S20" s="181"/>
      <c r="T20" s="181"/>
      <c r="U20" s="181"/>
      <c r="V20" s="181"/>
      <c r="W20" s="155"/>
      <c r="X20" s="138"/>
      <c r="Y20" s="138"/>
      <c r="Z20" s="138"/>
      <c r="AA20" s="138"/>
      <c r="AB20" s="138"/>
      <c r="AC20" s="138"/>
      <c r="AD20" s="155"/>
    </row>
    <row r="21" spans="1:37" ht="15.75">
      <c r="A21" s="193">
        <v>0</v>
      </c>
      <c r="B21" s="194">
        <f>B10</f>
        <v>10229261.175517492</v>
      </c>
      <c r="C21" s="194">
        <f>B10+1000000</f>
        <v>11229261.175517492</v>
      </c>
      <c r="D21" s="191"/>
      <c r="E21" s="196"/>
      <c r="F21" s="181" t="s">
        <v>128</v>
      </c>
      <c r="G21" s="181"/>
      <c r="H21" s="181"/>
      <c r="I21" s="181"/>
      <c r="J21" s="181"/>
      <c r="K21" s="181"/>
      <c r="L21" s="181"/>
      <c r="M21" s="181"/>
      <c r="N21" s="181"/>
      <c r="O21" s="181"/>
      <c r="P21" s="181"/>
      <c r="Q21" s="181"/>
      <c r="R21" s="181"/>
      <c r="S21" s="181"/>
      <c r="T21" s="181"/>
      <c r="U21" s="181"/>
      <c r="V21" s="181"/>
      <c r="W21" s="155"/>
      <c r="X21" s="197"/>
      <c r="Y21" s="138"/>
      <c r="Z21" s="138"/>
      <c r="AA21" s="138"/>
      <c r="AB21" s="138"/>
      <c r="AC21" s="138"/>
      <c r="AD21" s="155"/>
    </row>
    <row r="22" spans="1:37" ht="15.75">
      <c r="A22" s="193">
        <f>1+A21</f>
        <v>1</v>
      </c>
      <c r="B22" s="194"/>
      <c r="C22" s="194">
        <f>B10-1000000</f>
        <v>9229261.175517492</v>
      </c>
      <c r="D22" s="191"/>
      <c r="E22" s="196"/>
      <c r="F22" s="181" t="s">
        <v>129</v>
      </c>
      <c r="G22" s="181"/>
      <c r="H22" s="181"/>
      <c r="I22" s="181"/>
      <c r="J22" s="181"/>
      <c r="K22" s="181"/>
      <c r="L22" s="181"/>
      <c r="M22" s="181"/>
      <c r="N22" s="198">
        <f>C21</f>
        <v>11229261.175517492</v>
      </c>
      <c r="O22" s="181" t="s">
        <v>130</v>
      </c>
      <c r="P22" s="198">
        <f>C22</f>
        <v>9229261.175517492</v>
      </c>
      <c r="Q22" s="181" t="s">
        <v>131</v>
      </c>
      <c r="R22" s="181"/>
      <c r="S22" s="199">
        <f>D11</f>
        <v>0.5</v>
      </c>
      <c r="T22" s="181" t="s">
        <v>132</v>
      </c>
      <c r="U22" s="199">
        <f>1-S22</f>
        <v>0.5</v>
      </c>
      <c r="V22" s="181" t="s">
        <v>133</v>
      </c>
      <c r="W22" s="155"/>
      <c r="X22" s="197"/>
      <c r="Y22" s="138"/>
      <c r="Z22" s="138"/>
      <c r="AA22" s="138"/>
      <c r="AB22" s="138"/>
      <c r="AC22" s="138"/>
      <c r="AD22" s="155"/>
    </row>
    <row r="23" spans="1:37" ht="15.75">
      <c r="A23" s="193"/>
      <c r="B23" s="194"/>
      <c r="C23" s="194"/>
      <c r="D23" s="191"/>
      <c r="E23" s="196"/>
      <c r="F23" s="181" t="s">
        <v>134</v>
      </c>
      <c r="G23" s="181"/>
      <c r="H23" s="198">
        <f>C31</f>
        <v>6068008.7192185838</v>
      </c>
      <c r="I23" s="181"/>
      <c r="J23" s="181"/>
      <c r="K23" s="181"/>
      <c r="L23" s="181"/>
      <c r="M23" s="181"/>
      <c r="N23" s="181"/>
      <c r="O23" s="181"/>
      <c r="P23" s="181"/>
      <c r="Q23" s="181"/>
      <c r="R23" s="181"/>
      <c r="S23" s="181"/>
      <c r="T23" s="181"/>
      <c r="U23" s="181"/>
      <c r="V23" s="181"/>
      <c r="W23" s="155"/>
      <c r="X23" s="197"/>
      <c r="Y23" s="138"/>
      <c r="Z23" s="138"/>
      <c r="AA23" s="138"/>
      <c r="AB23" s="138"/>
      <c r="AC23" s="138"/>
      <c r="AD23" s="155"/>
    </row>
    <row r="24" spans="1:37" ht="15.75">
      <c r="A24" s="193" t="s">
        <v>135</v>
      </c>
      <c r="B24" s="200">
        <f>C19/(1+D5)</f>
        <v>9351980.8636226393</v>
      </c>
      <c r="C24" s="194"/>
      <c r="D24" s="191"/>
      <c r="E24" s="196"/>
      <c r="F24" s="181" t="s">
        <v>136</v>
      </c>
      <c r="G24" s="181"/>
      <c r="H24" s="181"/>
      <c r="I24" s="181"/>
      <c r="J24" s="181"/>
      <c r="K24" s="181"/>
      <c r="L24" s="181"/>
      <c r="M24" s="181"/>
      <c r="N24" s="201">
        <f>(MAX(C21-C31,0)-MAX(C22-C32,0))/(C21-C22)</f>
        <v>1</v>
      </c>
      <c r="O24" s="181" t="s">
        <v>137</v>
      </c>
      <c r="P24" s="181"/>
      <c r="Q24" s="181"/>
      <c r="R24" s="181"/>
      <c r="S24" s="198">
        <f>(N24*C22-MAX(C22-C32,0))/(1+D4)</f>
        <v>5888892.4210710116</v>
      </c>
      <c r="T24" s="181"/>
      <c r="U24" s="181"/>
      <c r="V24" s="181"/>
      <c r="W24" s="155"/>
      <c r="X24" s="197"/>
      <c r="Y24" s="138"/>
      <c r="Z24" s="138"/>
      <c r="AA24" s="138"/>
      <c r="AB24" s="138"/>
      <c r="AC24" s="138"/>
      <c r="AD24" s="155"/>
    </row>
    <row r="25" spans="1:37" ht="15.75">
      <c r="A25" s="193" t="s">
        <v>138</v>
      </c>
      <c r="B25" s="200">
        <f>(D11*C21+(1-D11)*C22)-(C21-C22)*(D5-D4)/(C21/B24-C22/B24)</f>
        <v>9636430.3106265254</v>
      </c>
      <c r="C25" s="200" t="s">
        <v>139</v>
      </c>
      <c r="D25" s="202">
        <f>B24*(1+D4)</f>
        <v>9636430.3106265254</v>
      </c>
      <c r="E25" s="196"/>
      <c r="F25" s="181" t="s">
        <v>140</v>
      </c>
      <c r="G25" s="181"/>
      <c r="H25" s="181"/>
      <c r="I25" s="181"/>
      <c r="J25" s="198">
        <f>N24*B21/(1+D6)-S24</f>
        <v>3463088.4425516278</v>
      </c>
      <c r="K25" s="181" t="s">
        <v>141</v>
      </c>
      <c r="L25" s="181"/>
      <c r="M25" s="181"/>
      <c r="N25" s="181"/>
      <c r="O25" s="181"/>
      <c r="P25" s="181"/>
      <c r="Q25" s="181"/>
      <c r="R25" s="181"/>
      <c r="S25" s="181"/>
      <c r="T25" s="181"/>
      <c r="U25" s="181"/>
      <c r="V25" s="181"/>
      <c r="W25" s="155"/>
      <c r="X25" s="197"/>
      <c r="Y25" s="138"/>
      <c r="Z25" s="138"/>
      <c r="AA25" s="138"/>
      <c r="AB25" s="138"/>
      <c r="AC25" s="138"/>
      <c r="AD25" s="155"/>
      <c r="AE25" s="203"/>
      <c r="AF25" s="138"/>
      <c r="AG25" s="138"/>
      <c r="AH25" s="138"/>
      <c r="AI25" s="138"/>
      <c r="AJ25" s="138"/>
      <c r="AK25" s="138"/>
    </row>
    <row r="26" spans="1:37" ht="15.75">
      <c r="A26" s="204"/>
      <c r="B26" s="205"/>
      <c r="C26" s="206"/>
      <c r="D26" s="207"/>
      <c r="E26" s="196"/>
      <c r="F26" s="181" t="s">
        <v>142</v>
      </c>
      <c r="G26" s="181"/>
      <c r="H26" s="181"/>
      <c r="I26" s="181"/>
      <c r="J26" s="181"/>
      <c r="K26" s="181"/>
      <c r="L26" s="181"/>
      <c r="M26" s="198">
        <f>(1/(1+$D$4))*(($D$11*C38+(1-$D$11)*C39)-((C38-C39)/(C21/B24-C22/B24))*($D$5-$D$4))</f>
        <v>3463088.4425516287</v>
      </c>
      <c r="N26" s="181"/>
      <c r="O26" s="181"/>
      <c r="P26" s="181"/>
      <c r="Q26" s="181"/>
      <c r="R26" s="208"/>
      <c r="S26" s="181"/>
      <c r="T26" s="181"/>
      <c r="U26" s="181"/>
      <c r="V26" s="181"/>
      <c r="W26" s="155"/>
      <c r="X26" s="197"/>
      <c r="Y26" s="138"/>
      <c r="Z26" s="138"/>
      <c r="AA26" s="138"/>
      <c r="AB26" s="138"/>
      <c r="AC26" s="138"/>
      <c r="AD26" s="155"/>
      <c r="AE26" s="203"/>
      <c r="AF26" s="138"/>
      <c r="AG26" s="138"/>
      <c r="AH26" s="138"/>
      <c r="AI26" s="138"/>
      <c r="AJ26" s="138"/>
      <c r="AK26" s="138"/>
    </row>
    <row r="27" spans="1:37" ht="15.75">
      <c r="A27" s="209"/>
      <c r="B27" s="210"/>
      <c r="C27" s="209"/>
      <c r="D27" s="211"/>
      <c r="E27" s="212"/>
      <c r="F27" s="196"/>
      <c r="G27" s="196"/>
      <c r="H27" s="196"/>
      <c r="I27" s="196"/>
      <c r="J27" s="196"/>
      <c r="K27" s="196"/>
      <c r="L27" s="196"/>
      <c r="M27" s="196"/>
      <c r="N27" s="196"/>
      <c r="O27" s="213"/>
      <c r="W27" s="214"/>
      <c r="X27" s="197"/>
      <c r="Y27" s="138"/>
      <c r="Z27" s="138"/>
      <c r="AA27" s="138"/>
      <c r="AB27" s="138"/>
      <c r="AC27" s="138"/>
      <c r="AD27" s="155"/>
    </row>
    <row r="28" spans="1:37" ht="15.75">
      <c r="A28" s="177" t="s">
        <v>143</v>
      </c>
      <c r="B28" s="215" t="s">
        <v>11</v>
      </c>
      <c r="C28" s="216"/>
      <c r="D28" s="185"/>
      <c r="E28" s="185"/>
      <c r="F28" s="185"/>
      <c r="G28" s="185"/>
      <c r="H28" s="185"/>
      <c r="I28" s="185"/>
      <c r="J28" s="185"/>
      <c r="K28" s="185"/>
      <c r="L28" s="185"/>
      <c r="M28" s="185"/>
      <c r="N28" s="217" t="s">
        <v>12</v>
      </c>
      <c r="W28" s="155"/>
      <c r="X28" s="155"/>
      <c r="Y28" s="155"/>
      <c r="Z28" s="155"/>
      <c r="AA28" s="155"/>
      <c r="AB28" s="155"/>
      <c r="AC28" s="155"/>
      <c r="AD28" s="155"/>
    </row>
    <row r="29" spans="1:37" ht="15.75">
      <c r="A29" s="182"/>
      <c r="B29" s="183">
        <v>0</v>
      </c>
      <c r="C29" s="184">
        <v>1</v>
      </c>
      <c r="D29" s="185"/>
      <c r="E29" s="218"/>
      <c r="F29" s="185"/>
      <c r="G29" s="185"/>
      <c r="H29" s="185"/>
      <c r="I29" s="185"/>
      <c r="J29" s="185"/>
      <c r="K29" s="185"/>
      <c r="L29" s="185"/>
      <c r="M29" s="185"/>
      <c r="N29" s="185"/>
      <c r="W29" s="155"/>
      <c r="X29" s="155"/>
      <c r="Y29" s="155"/>
      <c r="Z29" s="155"/>
      <c r="AA29" s="155"/>
      <c r="AB29" s="155"/>
      <c r="AC29" s="155"/>
      <c r="AD29" s="155"/>
    </row>
    <row r="30" spans="1:37" ht="15.75">
      <c r="A30" s="193" t="s">
        <v>10</v>
      </c>
      <c r="B30" s="219" t="s">
        <v>144</v>
      </c>
      <c r="C30" s="184"/>
      <c r="D30" s="185"/>
      <c r="E30" s="220"/>
      <c r="F30" s="220"/>
      <c r="G30" s="185"/>
      <c r="H30" s="185"/>
      <c r="I30" s="185"/>
      <c r="J30" s="185"/>
      <c r="K30" s="185"/>
      <c r="L30" s="185"/>
      <c r="M30" s="185"/>
      <c r="N30" s="185"/>
    </row>
    <row r="31" spans="1:37" ht="15.75">
      <c r="A31" s="193">
        <v>0</v>
      </c>
      <c r="B31" s="194">
        <f>B11</f>
        <v>6068008.7192185838</v>
      </c>
      <c r="C31" s="191">
        <f>(1+$D$7)*B$31</f>
        <v>6068008.7192185838</v>
      </c>
      <c r="D31" s="196"/>
      <c r="E31" s="220"/>
      <c r="F31" s="220"/>
      <c r="G31" s="196"/>
      <c r="H31" s="196"/>
      <c r="I31" s="196"/>
      <c r="J31" s="196"/>
      <c r="K31" s="196"/>
      <c r="L31" s="196"/>
      <c r="M31" s="196"/>
      <c r="N31" s="196"/>
      <c r="O31" s="213"/>
    </row>
    <row r="32" spans="1:37" ht="15.75">
      <c r="A32" s="193">
        <f>1+A31</f>
        <v>1</v>
      </c>
      <c r="B32" s="194"/>
      <c r="C32" s="191">
        <f>(1+$D$7)*B$31</f>
        <v>6068008.7192185838</v>
      </c>
      <c r="D32" s="196"/>
      <c r="E32" s="212"/>
      <c r="F32" s="220"/>
      <c r="G32" s="196"/>
      <c r="H32" s="196"/>
      <c r="I32" s="196"/>
      <c r="J32" s="196"/>
      <c r="K32" s="196"/>
      <c r="L32" s="196"/>
      <c r="M32" s="196"/>
      <c r="N32" s="196"/>
      <c r="O32" s="213"/>
    </row>
    <row r="33" spans="1:15" ht="15.75">
      <c r="A33" s="204"/>
      <c r="B33" s="221"/>
      <c r="C33" s="222"/>
      <c r="D33" s="196"/>
      <c r="E33" s="212"/>
      <c r="F33" s="196"/>
      <c r="G33" s="196"/>
      <c r="H33" s="196"/>
      <c r="I33" s="196"/>
      <c r="J33" s="196"/>
      <c r="K33" s="196"/>
      <c r="L33" s="196"/>
      <c r="M33" s="196"/>
      <c r="N33" s="196"/>
      <c r="O33" s="213"/>
    </row>
    <row r="34" spans="1:15">
      <c r="B34" s="223"/>
      <c r="C34" s="223"/>
      <c r="D34" s="223"/>
      <c r="E34" s="224"/>
      <c r="F34" s="223"/>
      <c r="G34" s="223"/>
      <c r="H34" s="223"/>
      <c r="I34" s="223"/>
      <c r="J34" s="223"/>
      <c r="K34" s="223"/>
      <c r="L34" s="223"/>
      <c r="M34" s="223"/>
      <c r="N34" s="223"/>
      <c r="O34" s="213"/>
    </row>
    <row r="35" spans="1:15" ht="15.75">
      <c r="A35" s="225" t="s">
        <v>145</v>
      </c>
      <c r="B35" s="215" t="s">
        <v>11</v>
      </c>
      <c r="C35" s="216"/>
      <c r="D35" s="185"/>
      <c r="E35" s="185"/>
      <c r="F35" s="185"/>
      <c r="G35" s="185"/>
      <c r="H35" s="185"/>
      <c r="I35" s="185"/>
      <c r="J35" s="185"/>
      <c r="K35" s="185"/>
      <c r="L35" s="185"/>
      <c r="M35" s="185"/>
      <c r="N35" s="217"/>
    </row>
    <row r="36" spans="1:15" ht="15.75">
      <c r="A36" s="226"/>
      <c r="B36" s="183">
        <v>0</v>
      </c>
      <c r="C36" s="184">
        <v>1</v>
      </c>
      <c r="D36" s="185"/>
      <c r="E36" s="185"/>
      <c r="F36" s="185"/>
      <c r="G36" s="185"/>
      <c r="H36" s="185"/>
      <c r="I36" s="185"/>
      <c r="J36" s="185"/>
      <c r="K36" s="185"/>
      <c r="L36" s="185"/>
      <c r="M36" s="185"/>
      <c r="N36" s="185"/>
    </row>
    <row r="37" spans="1:15" ht="15.75">
      <c r="A37" s="193" t="s">
        <v>10</v>
      </c>
      <c r="B37" s="219" t="s">
        <v>146</v>
      </c>
      <c r="C37" s="184"/>
      <c r="D37" s="185"/>
      <c r="E37" s="185"/>
      <c r="F37" s="185"/>
      <c r="G37" s="185"/>
      <c r="H37" s="185"/>
      <c r="I37" s="185"/>
      <c r="J37" s="185"/>
      <c r="K37" s="185"/>
      <c r="L37" s="185"/>
      <c r="M37" s="185"/>
      <c r="N37" s="185"/>
    </row>
    <row r="38" spans="1:15" ht="15.75">
      <c r="A38" s="193">
        <v>0</v>
      </c>
      <c r="B38" s="194">
        <f>(1/(1+$D$4))*(($D$11*C38+(1-$D$11)*C39)-((C38-C39)/(C21/B24-C22/B24))*($D$5-$D$4))</f>
        <v>3463088.4425516287</v>
      </c>
      <c r="C38" s="191">
        <f>MAX(C21-C31,0)</f>
        <v>5161252.4562989082</v>
      </c>
      <c r="D38" s="196"/>
      <c r="E38" s="196"/>
      <c r="F38" s="196"/>
      <c r="G38" s="196"/>
      <c r="H38" s="196"/>
      <c r="I38" s="196"/>
      <c r="J38" s="196"/>
      <c r="K38" s="196"/>
      <c r="L38" s="196"/>
      <c r="M38" s="196"/>
      <c r="N38" s="196"/>
      <c r="O38" s="213"/>
    </row>
    <row r="39" spans="1:15" ht="15.75">
      <c r="A39" s="193">
        <f>1+A38</f>
        <v>1</v>
      </c>
      <c r="B39" s="194"/>
      <c r="C39" s="191">
        <f>MAX(C22-C32,0)</f>
        <v>3161252.4562989082</v>
      </c>
      <c r="D39" s="196"/>
      <c r="E39" s="196"/>
      <c r="F39" s="196"/>
      <c r="G39" s="196"/>
      <c r="H39" s="196"/>
      <c r="I39" s="196"/>
      <c r="J39" s="196"/>
      <c r="K39" s="196"/>
      <c r="L39" s="196"/>
      <c r="M39" s="196"/>
      <c r="N39" s="196"/>
      <c r="O39" s="213"/>
    </row>
    <row r="40" spans="1:15" ht="15.75">
      <c r="A40" s="193"/>
      <c r="B40" s="227"/>
      <c r="C40" s="228"/>
      <c r="D40" s="196"/>
      <c r="E40" s="196"/>
      <c r="F40" s="196"/>
      <c r="G40" s="196"/>
      <c r="H40" s="196"/>
      <c r="I40" s="196"/>
      <c r="J40" s="196"/>
      <c r="K40" s="196"/>
      <c r="L40" s="196"/>
      <c r="M40" s="196"/>
      <c r="N40" s="196"/>
      <c r="O40" s="213"/>
    </row>
    <row r="41" spans="1:15">
      <c r="A41" s="138"/>
      <c r="B41" s="138"/>
      <c r="C41" s="138"/>
      <c r="D41" s="138"/>
    </row>
    <row r="42" spans="1:15" ht="15.75">
      <c r="A42" s="312" t="s">
        <v>183</v>
      </c>
      <c r="B42" s="311">
        <f>((C19-C31)*(1+D5)*(1+D4))/((1+D4)*C19-(1+D5)*C31)-1</f>
        <v>0.20160155460334384</v>
      </c>
      <c r="C42" s="229"/>
      <c r="D42" s="229"/>
      <c r="E42" s="185"/>
      <c r="F42" s="185"/>
      <c r="G42" s="185"/>
      <c r="H42" s="185"/>
      <c r="I42" s="185"/>
      <c r="J42" s="185"/>
      <c r="K42" s="185"/>
      <c r="L42" s="185"/>
      <c r="M42" s="185"/>
      <c r="N42" s="217"/>
      <c r="O42" s="213"/>
    </row>
    <row r="43" spans="1:15" ht="15.75">
      <c r="A43" s="229"/>
      <c r="B43" s="229"/>
      <c r="C43" s="229"/>
      <c r="D43" s="229"/>
      <c r="E43" s="185"/>
      <c r="F43" s="185"/>
      <c r="G43" s="185"/>
      <c r="H43" s="185"/>
      <c r="I43" s="185"/>
      <c r="J43" s="185"/>
      <c r="K43" s="185"/>
      <c r="L43" s="185"/>
      <c r="M43" s="185"/>
      <c r="N43" s="185"/>
    </row>
    <row r="44" spans="1:15" ht="15.75">
      <c r="A44" s="230"/>
      <c r="B44" s="231"/>
      <c r="C44" s="229"/>
      <c r="D44" s="229"/>
      <c r="E44" s="185"/>
      <c r="F44" s="185"/>
      <c r="G44" s="185"/>
      <c r="H44" s="185"/>
      <c r="I44" s="185"/>
      <c r="J44" s="185"/>
      <c r="K44" s="185"/>
      <c r="L44" s="185"/>
      <c r="M44" s="185"/>
      <c r="N44" s="185"/>
    </row>
    <row r="45" spans="1:15" ht="15.75">
      <c r="A45" s="230"/>
      <c r="B45" s="232"/>
      <c r="C45" s="232"/>
      <c r="D45" s="233"/>
      <c r="E45" s="196"/>
      <c r="F45" s="196"/>
      <c r="G45" s="196"/>
      <c r="H45" s="196"/>
      <c r="I45" s="196"/>
      <c r="J45" s="196"/>
      <c r="K45" s="196"/>
      <c r="L45" s="196"/>
      <c r="M45" s="196"/>
      <c r="N45" s="196"/>
      <c r="O45" s="213"/>
    </row>
    <row r="46" spans="1:15" ht="15.75">
      <c r="A46" s="230"/>
      <c r="B46" s="232"/>
      <c r="C46" s="232"/>
      <c r="D46" s="233"/>
      <c r="E46" s="196"/>
      <c r="F46" s="196"/>
      <c r="G46" s="196"/>
      <c r="H46" s="196"/>
      <c r="I46" s="196"/>
      <c r="J46" s="196"/>
      <c r="K46" s="196"/>
      <c r="L46" s="196"/>
      <c r="M46" s="196"/>
      <c r="N46" s="196"/>
      <c r="O46" s="213"/>
    </row>
    <row r="47" spans="1:15" ht="15.75">
      <c r="A47" s="230"/>
      <c r="B47" s="233"/>
      <c r="C47" s="233"/>
      <c r="D47" s="233"/>
      <c r="E47" s="196"/>
      <c r="F47" s="196"/>
      <c r="G47" s="196"/>
      <c r="H47" s="196"/>
      <c r="I47" s="196"/>
      <c r="J47" s="196"/>
      <c r="K47" s="196"/>
      <c r="L47" s="196"/>
      <c r="M47" s="196"/>
      <c r="N47" s="196"/>
      <c r="O47" s="213"/>
    </row>
    <row r="48" spans="1:15" ht="15.75">
      <c r="A48" s="230"/>
      <c r="B48" s="233"/>
      <c r="C48" s="233"/>
      <c r="D48" s="233"/>
      <c r="E48" s="196"/>
      <c r="F48" s="196"/>
      <c r="G48" s="196"/>
      <c r="H48" s="196"/>
      <c r="I48" s="196"/>
      <c r="J48" s="196"/>
      <c r="K48" s="196"/>
      <c r="L48" s="196"/>
      <c r="M48" s="196"/>
      <c r="N48" s="196"/>
      <c r="O48" s="213"/>
    </row>
    <row r="49" spans="1:15" ht="15.75">
      <c r="A49" s="230"/>
      <c r="B49" s="233"/>
      <c r="C49" s="233"/>
      <c r="D49" s="233"/>
      <c r="E49" s="196"/>
      <c r="F49" s="196"/>
      <c r="G49" s="196"/>
      <c r="H49" s="196"/>
      <c r="I49" s="196"/>
      <c r="J49" s="196"/>
      <c r="K49" s="196"/>
      <c r="L49" s="196"/>
      <c r="M49" s="196"/>
      <c r="N49" s="196"/>
      <c r="O49" s="213"/>
    </row>
    <row r="50" spans="1:15" ht="15.75">
      <c r="A50" s="230"/>
      <c r="B50" s="233"/>
      <c r="C50" s="233"/>
      <c r="D50" s="233"/>
      <c r="E50" s="196"/>
      <c r="F50" s="196"/>
      <c r="G50" s="196"/>
      <c r="H50" s="196"/>
      <c r="I50" s="196"/>
      <c r="J50" s="196"/>
      <c r="K50" s="196"/>
      <c r="L50" s="196"/>
      <c r="M50" s="196"/>
      <c r="N50" s="196"/>
      <c r="O50" s="213"/>
    </row>
    <row r="51" spans="1:15" ht="15.75">
      <c r="A51" s="209"/>
      <c r="B51" s="196"/>
      <c r="C51" s="196"/>
      <c r="D51" s="196"/>
      <c r="E51" s="196"/>
      <c r="F51" s="196"/>
      <c r="G51" s="196"/>
      <c r="H51" s="196"/>
      <c r="I51" s="196"/>
      <c r="J51" s="196"/>
      <c r="K51" s="196"/>
      <c r="L51" s="196"/>
      <c r="M51" s="196"/>
      <c r="N51" s="196"/>
      <c r="O51" s="213"/>
    </row>
    <row r="52" spans="1:15" ht="15.75">
      <c r="A52" s="209"/>
      <c r="B52" s="196"/>
      <c r="C52" s="196"/>
      <c r="D52" s="196"/>
      <c r="E52" s="196"/>
      <c r="F52" s="196"/>
      <c r="G52" s="196"/>
      <c r="H52" s="196"/>
      <c r="I52" s="196"/>
      <c r="J52" s="196"/>
      <c r="K52" s="196"/>
      <c r="L52" s="196"/>
      <c r="M52" s="196"/>
      <c r="N52" s="196"/>
      <c r="O52" s="213"/>
    </row>
    <row r="53" spans="1:15" ht="15.75">
      <c r="A53" s="209"/>
      <c r="B53" s="196"/>
      <c r="C53" s="196"/>
      <c r="D53" s="196"/>
      <c r="E53" s="196"/>
      <c r="F53" s="196"/>
      <c r="G53" s="196"/>
      <c r="H53" s="196"/>
      <c r="I53" s="196"/>
      <c r="J53" s="196"/>
      <c r="K53" s="196"/>
      <c r="L53" s="196"/>
      <c r="M53" s="196"/>
      <c r="N53" s="196"/>
      <c r="O53" s="213"/>
    </row>
    <row r="54" spans="1:15" ht="15.75">
      <c r="A54" s="209"/>
      <c r="B54" s="196"/>
      <c r="C54" s="196"/>
      <c r="D54" s="196"/>
      <c r="E54" s="196"/>
      <c r="F54" s="196"/>
      <c r="G54" s="196"/>
      <c r="H54" s="196"/>
      <c r="I54" s="196"/>
      <c r="J54" s="196"/>
      <c r="K54" s="196"/>
      <c r="L54" s="196"/>
      <c r="M54" s="196"/>
      <c r="N54" s="196"/>
      <c r="O54" s="213"/>
    </row>
    <row r="55" spans="1:15" ht="15.75">
      <c r="A55" s="209"/>
      <c r="B55" s="196"/>
      <c r="C55" s="196"/>
      <c r="D55" s="196"/>
      <c r="E55" s="196"/>
      <c r="F55" s="196"/>
      <c r="G55" s="196"/>
      <c r="H55" s="196"/>
      <c r="I55" s="196"/>
      <c r="J55" s="196"/>
      <c r="K55" s="196"/>
      <c r="L55" s="196"/>
      <c r="M55" s="196"/>
      <c r="N55" s="196"/>
      <c r="O55" s="213"/>
    </row>
    <row r="56" spans="1:15" ht="15.75">
      <c r="A56" s="209"/>
      <c r="B56" s="196"/>
      <c r="C56" s="196"/>
      <c r="D56" s="196"/>
      <c r="E56" s="196"/>
      <c r="F56" s="196"/>
      <c r="G56" s="196"/>
      <c r="H56" s="196"/>
      <c r="I56" s="196"/>
      <c r="J56" s="196"/>
      <c r="K56" s="196"/>
      <c r="L56" s="196"/>
      <c r="M56" s="196"/>
      <c r="N56" s="196"/>
      <c r="O56" s="213"/>
    </row>
    <row r="57" spans="1:15" ht="15.75">
      <c r="A57" s="209"/>
      <c r="B57" s="196"/>
      <c r="C57" s="196"/>
      <c r="D57" s="196"/>
      <c r="E57" s="196"/>
      <c r="F57" s="196"/>
      <c r="G57" s="196"/>
      <c r="H57" s="196"/>
      <c r="I57" s="196"/>
      <c r="J57" s="196"/>
      <c r="K57" s="196"/>
      <c r="L57" s="196"/>
      <c r="M57" s="196"/>
      <c r="N57" s="196"/>
      <c r="O57" s="213"/>
    </row>
    <row r="58" spans="1:15">
      <c r="O58" s="234"/>
    </row>
    <row r="59" spans="1:15" ht="15.75">
      <c r="A59" s="185"/>
      <c r="B59" s="185"/>
      <c r="C59" s="185"/>
      <c r="D59" s="185"/>
      <c r="E59" s="185"/>
      <c r="F59" s="185"/>
      <c r="G59" s="185"/>
      <c r="H59" s="185"/>
      <c r="I59" s="185"/>
      <c r="J59" s="185"/>
      <c r="K59" s="185"/>
      <c r="L59" s="185"/>
      <c r="M59" s="185"/>
      <c r="N59" s="217"/>
      <c r="O59" s="234"/>
    </row>
    <row r="60" spans="1:15" ht="15.75">
      <c r="A60" s="185"/>
      <c r="B60" s="185"/>
      <c r="C60" s="185"/>
      <c r="D60" s="185"/>
      <c r="E60" s="185"/>
      <c r="F60" s="185"/>
      <c r="G60" s="185"/>
      <c r="H60" s="185"/>
      <c r="I60" s="185"/>
      <c r="J60" s="185"/>
      <c r="K60" s="185"/>
      <c r="L60" s="185"/>
      <c r="M60" s="185"/>
      <c r="N60" s="185"/>
    </row>
    <row r="61" spans="1:15" ht="15.75">
      <c r="A61" s="209"/>
      <c r="B61" s="185"/>
      <c r="C61" s="185"/>
      <c r="D61" s="185"/>
      <c r="E61" s="185"/>
      <c r="F61" s="185"/>
      <c r="G61" s="185"/>
      <c r="H61" s="185"/>
      <c r="I61" s="185"/>
      <c r="J61" s="185"/>
      <c r="K61" s="185"/>
      <c r="L61" s="185"/>
      <c r="M61" s="185"/>
      <c r="N61" s="185"/>
    </row>
    <row r="62" spans="1:15" ht="15.75">
      <c r="A62" s="209"/>
      <c r="B62" s="217"/>
      <c r="C62" s="217"/>
      <c r="D62" s="217"/>
      <c r="E62" s="217"/>
      <c r="F62" s="217"/>
      <c r="G62" s="217"/>
      <c r="H62" s="217"/>
      <c r="I62" s="217"/>
      <c r="J62" s="217"/>
      <c r="K62" s="217"/>
      <c r="L62" s="217"/>
      <c r="M62" s="217"/>
      <c r="N62" s="217"/>
      <c r="O62" s="186"/>
    </row>
    <row r="63" spans="1:15" ht="15.75">
      <c r="A63" s="209"/>
      <c r="B63" s="217"/>
      <c r="C63" s="217"/>
      <c r="D63" s="217"/>
      <c r="E63" s="217"/>
      <c r="F63" s="217"/>
      <c r="G63" s="217"/>
      <c r="H63" s="217"/>
      <c r="I63" s="217"/>
      <c r="J63" s="217"/>
      <c r="K63" s="217"/>
      <c r="L63" s="217"/>
      <c r="M63" s="217"/>
      <c r="N63" s="217"/>
      <c r="O63" s="186"/>
    </row>
    <row r="64" spans="1:15" ht="15.75">
      <c r="A64" s="209"/>
      <c r="B64" s="217"/>
      <c r="C64" s="217"/>
      <c r="D64" s="217"/>
      <c r="E64" s="217"/>
      <c r="F64" s="217"/>
      <c r="G64" s="217"/>
      <c r="H64" s="217"/>
      <c r="I64" s="217"/>
      <c r="J64" s="217"/>
      <c r="K64" s="217"/>
      <c r="L64" s="217"/>
      <c r="M64" s="217"/>
      <c r="N64" s="217"/>
      <c r="O64" s="186"/>
    </row>
    <row r="65" spans="1:15" ht="15.75">
      <c r="A65" s="209"/>
      <c r="B65" s="217"/>
      <c r="C65" s="217"/>
      <c r="D65" s="217"/>
      <c r="E65" s="217"/>
      <c r="F65" s="217"/>
      <c r="G65" s="217"/>
      <c r="H65" s="217"/>
      <c r="I65" s="217"/>
      <c r="J65" s="217"/>
      <c r="K65" s="217"/>
      <c r="L65" s="217"/>
      <c r="M65" s="217"/>
      <c r="N65" s="217"/>
      <c r="O65" s="186"/>
    </row>
    <row r="66" spans="1:15" ht="15.75">
      <c r="A66" s="209"/>
      <c r="B66" s="217"/>
      <c r="C66" s="217"/>
      <c r="D66" s="217"/>
      <c r="E66" s="217"/>
      <c r="F66" s="217"/>
      <c r="G66" s="217"/>
      <c r="H66" s="217"/>
      <c r="I66" s="217"/>
      <c r="J66" s="217"/>
      <c r="K66" s="217"/>
      <c r="L66" s="217"/>
      <c r="M66" s="217"/>
      <c r="N66" s="217"/>
      <c r="O66" s="186"/>
    </row>
    <row r="67" spans="1:15" ht="15.75">
      <c r="A67" s="209"/>
      <c r="B67" s="217"/>
      <c r="C67" s="217"/>
      <c r="D67" s="217"/>
      <c r="E67" s="217"/>
      <c r="F67" s="217"/>
      <c r="G67" s="217"/>
      <c r="H67" s="217"/>
      <c r="I67" s="217"/>
      <c r="J67" s="217"/>
      <c r="K67" s="217"/>
      <c r="L67" s="217"/>
      <c r="M67" s="217"/>
      <c r="N67" s="217"/>
      <c r="O67" s="186"/>
    </row>
    <row r="68" spans="1:15" ht="15.75">
      <c r="A68" s="209"/>
      <c r="B68" s="217"/>
      <c r="C68" s="217"/>
      <c r="D68" s="217"/>
      <c r="E68" s="217"/>
      <c r="F68" s="217"/>
      <c r="G68" s="217"/>
      <c r="H68" s="217"/>
      <c r="I68" s="217"/>
      <c r="J68" s="217"/>
      <c r="K68" s="217"/>
      <c r="L68" s="217"/>
      <c r="M68" s="217"/>
      <c r="N68" s="217"/>
      <c r="O68" s="186"/>
    </row>
    <row r="69" spans="1:15" ht="15.75">
      <c r="A69" s="209"/>
      <c r="B69" s="217"/>
      <c r="C69" s="217"/>
      <c r="D69" s="217"/>
      <c r="E69" s="217"/>
      <c r="F69" s="217"/>
      <c r="G69" s="217"/>
      <c r="H69" s="217"/>
      <c r="I69" s="217"/>
      <c r="J69" s="217"/>
      <c r="K69" s="217"/>
      <c r="L69" s="217"/>
      <c r="M69" s="217"/>
      <c r="N69" s="217"/>
      <c r="O69" s="186"/>
    </row>
    <row r="70" spans="1:15" ht="15.75">
      <c r="A70" s="209"/>
      <c r="B70" s="217"/>
      <c r="C70" s="217"/>
      <c r="D70" s="217"/>
      <c r="E70" s="217"/>
      <c r="F70" s="217"/>
      <c r="G70" s="217"/>
      <c r="H70" s="217"/>
      <c r="I70" s="217"/>
      <c r="J70" s="217"/>
      <c r="K70" s="217"/>
      <c r="L70" s="217"/>
      <c r="M70" s="217"/>
      <c r="N70" s="217"/>
      <c r="O70" s="186"/>
    </row>
    <row r="71" spans="1:15" ht="15.75">
      <c r="A71" s="209"/>
      <c r="B71" s="217"/>
      <c r="C71" s="217"/>
      <c r="D71" s="217"/>
      <c r="E71" s="217"/>
      <c r="F71" s="217"/>
      <c r="G71" s="217"/>
      <c r="H71" s="217"/>
      <c r="I71" s="217"/>
      <c r="J71" s="217"/>
      <c r="K71" s="217"/>
      <c r="L71" s="217"/>
      <c r="M71" s="217"/>
      <c r="N71" s="217"/>
      <c r="O71" s="186"/>
    </row>
    <row r="72" spans="1:15" ht="15.75">
      <c r="A72" s="209"/>
      <c r="B72" s="217"/>
      <c r="C72" s="217"/>
      <c r="D72" s="217"/>
      <c r="E72" s="217"/>
      <c r="F72" s="217"/>
      <c r="G72" s="217"/>
      <c r="H72" s="217"/>
      <c r="I72" s="217"/>
      <c r="J72" s="217"/>
      <c r="K72" s="217"/>
      <c r="L72" s="217"/>
      <c r="M72" s="217"/>
      <c r="N72" s="217"/>
      <c r="O72" s="186"/>
    </row>
    <row r="73" spans="1:15" ht="15.75">
      <c r="A73" s="209"/>
      <c r="B73" s="217"/>
      <c r="C73" s="217"/>
      <c r="D73" s="217"/>
      <c r="E73" s="217"/>
      <c r="F73" s="217"/>
      <c r="G73" s="217"/>
      <c r="H73" s="217"/>
      <c r="I73" s="217"/>
      <c r="J73" s="217"/>
      <c r="K73" s="217"/>
      <c r="L73" s="217"/>
      <c r="M73" s="217"/>
      <c r="N73" s="217"/>
      <c r="O73" s="186"/>
    </row>
    <row r="74" spans="1:15" ht="15.75">
      <c r="A74" s="209"/>
      <c r="B74" s="217"/>
      <c r="C74" s="217"/>
      <c r="D74" s="217"/>
      <c r="E74" s="217"/>
      <c r="F74" s="217"/>
      <c r="G74" s="217"/>
      <c r="H74" s="217"/>
      <c r="I74" s="217"/>
      <c r="J74" s="217"/>
      <c r="K74" s="217"/>
      <c r="L74" s="217"/>
      <c r="M74" s="217"/>
      <c r="N74" s="217"/>
      <c r="O74" s="186"/>
    </row>
    <row r="76" spans="1:15">
      <c r="O76" s="213"/>
    </row>
    <row r="77" spans="1:15">
      <c r="O77" s="213"/>
    </row>
    <row r="78" spans="1:15">
      <c r="B78" s="235"/>
      <c r="O78" s="213"/>
    </row>
    <row r="79" spans="1:15" ht="15.75">
      <c r="B79" s="185"/>
      <c r="C79" s="185"/>
      <c r="D79" s="185"/>
      <c r="E79" s="185"/>
      <c r="F79" s="185"/>
      <c r="G79" s="185"/>
      <c r="H79" s="185"/>
      <c r="I79" s="185"/>
      <c r="J79" s="185"/>
      <c r="K79" s="185"/>
      <c r="L79" s="185"/>
      <c r="M79" s="185"/>
    </row>
    <row r="80" spans="1:15" ht="15.75">
      <c r="B80" s="185"/>
      <c r="C80" s="185"/>
      <c r="D80" s="185"/>
      <c r="E80" s="185"/>
      <c r="F80" s="185"/>
      <c r="G80" s="185"/>
      <c r="H80" s="185"/>
      <c r="I80" s="185"/>
      <c r="J80" s="185"/>
      <c r="K80" s="185"/>
      <c r="L80" s="185"/>
      <c r="M80" s="185"/>
    </row>
    <row r="81" spans="1:15" ht="15.75">
      <c r="A81" s="209"/>
      <c r="B81" s="185"/>
      <c r="C81" s="185"/>
      <c r="D81" s="185"/>
      <c r="E81" s="185"/>
      <c r="F81" s="185"/>
      <c r="G81" s="185"/>
      <c r="H81" s="185"/>
      <c r="I81" s="185"/>
      <c r="J81" s="185"/>
      <c r="K81" s="185"/>
      <c r="L81" s="185"/>
      <c r="M81" s="185"/>
    </row>
    <row r="82" spans="1:15" ht="15.75">
      <c r="A82" s="209"/>
      <c r="B82" s="218"/>
      <c r="C82" s="218"/>
      <c r="D82" s="218"/>
      <c r="E82" s="218"/>
      <c r="F82" s="218"/>
      <c r="G82" s="218"/>
      <c r="H82" s="218"/>
      <c r="I82" s="218"/>
      <c r="J82" s="218"/>
      <c r="K82" s="218"/>
      <c r="L82" s="218"/>
      <c r="M82" s="218"/>
      <c r="N82" s="236"/>
      <c r="O82" s="188"/>
    </row>
    <row r="83" spans="1:15" ht="15.75">
      <c r="A83" s="209"/>
      <c r="B83" s="185"/>
      <c r="C83" s="218"/>
      <c r="D83" s="218"/>
      <c r="E83" s="218"/>
      <c r="F83" s="218"/>
      <c r="G83" s="218"/>
      <c r="H83" s="218"/>
      <c r="I83" s="218"/>
      <c r="J83" s="218"/>
      <c r="K83" s="218"/>
      <c r="L83" s="218"/>
      <c r="M83" s="218"/>
      <c r="N83" s="236"/>
      <c r="O83" s="188"/>
    </row>
    <row r="84" spans="1:15" ht="15.75">
      <c r="A84" s="209"/>
      <c r="B84" s="185"/>
      <c r="C84" s="185"/>
      <c r="D84" s="218"/>
      <c r="E84" s="218"/>
      <c r="F84" s="218"/>
      <c r="G84" s="218"/>
      <c r="H84" s="218"/>
      <c r="I84" s="218"/>
      <c r="J84" s="218"/>
      <c r="K84" s="218"/>
      <c r="L84" s="218"/>
      <c r="M84" s="218"/>
      <c r="N84" s="236"/>
      <c r="O84" s="188"/>
    </row>
    <row r="85" spans="1:15" ht="15.75">
      <c r="A85" s="209"/>
      <c r="B85" s="185"/>
      <c r="C85" s="185"/>
      <c r="D85" s="185"/>
      <c r="E85" s="218"/>
      <c r="F85" s="218"/>
      <c r="G85" s="218"/>
      <c r="H85" s="218"/>
      <c r="I85" s="218"/>
      <c r="J85" s="218"/>
      <c r="K85" s="218"/>
      <c r="L85" s="218"/>
      <c r="M85" s="218"/>
      <c r="N85" s="236"/>
      <c r="O85" s="188"/>
    </row>
    <row r="86" spans="1:15" ht="15.75">
      <c r="A86" s="209"/>
      <c r="B86" s="185"/>
      <c r="C86" s="185"/>
      <c r="D86" s="185"/>
      <c r="E86" s="185"/>
      <c r="F86" s="218"/>
      <c r="G86" s="218"/>
      <c r="H86" s="218"/>
      <c r="I86" s="218"/>
      <c r="J86" s="218"/>
      <c r="K86" s="218"/>
      <c r="L86" s="218"/>
      <c r="M86" s="218"/>
      <c r="N86" s="236"/>
      <c r="O86" s="188"/>
    </row>
    <row r="87" spans="1:15" ht="15.75">
      <c r="A87" s="209"/>
      <c r="B87" s="185"/>
      <c r="C87" s="185"/>
      <c r="D87" s="185"/>
      <c r="E87" s="185"/>
      <c r="F87" s="185"/>
      <c r="G87" s="218"/>
      <c r="H87" s="218"/>
      <c r="I87" s="218"/>
      <c r="J87" s="218"/>
      <c r="K87" s="218"/>
      <c r="L87" s="218"/>
      <c r="M87" s="218"/>
      <c r="N87" s="236"/>
      <c r="O87" s="188"/>
    </row>
    <row r="88" spans="1:15" ht="15.75">
      <c r="A88" s="209"/>
      <c r="B88" s="185"/>
      <c r="C88" s="185"/>
      <c r="D88" s="185"/>
      <c r="E88" s="185"/>
      <c r="F88" s="185"/>
      <c r="G88" s="185"/>
      <c r="H88" s="218"/>
      <c r="I88" s="218"/>
      <c r="J88" s="218"/>
      <c r="K88" s="218"/>
      <c r="L88" s="218"/>
      <c r="M88" s="218"/>
      <c r="N88" s="236"/>
      <c r="O88" s="188"/>
    </row>
    <row r="89" spans="1:15" ht="15.75">
      <c r="A89" s="209"/>
      <c r="B89" s="185"/>
      <c r="C89" s="185"/>
      <c r="D89" s="185"/>
      <c r="E89" s="185"/>
      <c r="F89" s="185"/>
      <c r="G89" s="185"/>
      <c r="H89" s="185"/>
      <c r="I89" s="218"/>
      <c r="J89" s="218"/>
      <c r="K89" s="218"/>
      <c r="L89" s="218"/>
      <c r="M89" s="218"/>
      <c r="N89" s="236"/>
      <c r="O89" s="188"/>
    </row>
    <row r="90" spans="1:15" ht="15.75">
      <c r="A90" s="209"/>
      <c r="B90" s="185"/>
      <c r="C90" s="185"/>
      <c r="D90" s="185"/>
      <c r="E90" s="185"/>
      <c r="F90" s="185"/>
      <c r="G90" s="185"/>
      <c r="H90" s="185"/>
      <c r="I90" s="185"/>
      <c r="J90" s="237"/>
      <c r="K90" s="237"/>
      <c r="L90" s="237"/>
      <c r="M90" s="237"/>
      <c r="N90" s="236"/>
      <c r="O90" s="188"/>
    </row>
    <row r="91" spans="1:15" ht="15.75">
      <c r="A91" s="209"/>
      <c r="B91" s="185"/>
      <c r="C91" s="185"/>
      <c r="D91" s="185"/>
      <c r="E91" s="185"/>
      <c r="F91" s="185"/>
      <c r="G91" s="185"/>
      <c r="H91" s="185"/>
      <c r="I91" s="185"/>
      <c r="J91" s="217"/>
      <c r="K91" s="237"/>
      <c r="L91" s="237"/>
      <c r="M91" s="237"/>
      <c r="N91" s="236"/>
      <c r="O91" s="188"/>
    </row>
    <row r="92" spans="1:15" ht="15.75">
      <c r="A92" s="209"/>
      <c r="B92" s="185"/>
      <c r="C92" s="185"/>
      <c r="D92" s="185"/>
      <c r="E92" s="185"/>
      <c r="F92" s="185"/>
      <c r="G92" s="185"/>
      <c r="H92" s="185"/>
      <c r="I92" s="185"/>
      <c r="J92" s="217"/>
      <c r="K92" s="217"/>
      <c r="L92" s="237"/>
      <c r="M92" s="237"/>
      <c r="N92" s="236"/>
      <c r="O92" s="188"/>
    </row>
    <row r="93" spans="1:15" ht="15.75">
      <c r="A93" s="209"/>
      <c r="B93" s="185"/>
      <c r="C93" s="185"/>
      <c r="D93" s="185"/>
      <c r="E93" s="185"/>
      <c r="F93" s="185"/>
      <c r="G93" s="185"/>
      <c r="H93" s="185"/>
      <c r="I93" s="185"/>
      <c r="J93" s="217"/>
      <c r="K93" s="217"/>
      <c r="L93" s="217"/>
      <c r="M93" s="237"/>
      <c r="N93" s="236"/>
      <c r="O93" s="188"/>
    </row>
    <row r="94" spans="1:15" ht="15.75">
      <c r="A94" s="209"/>
      <c r="N94" s="236"/>
      <c r="O94" s="188"/>
    </row>
    <row r="96" spans="1:15" ht="15.75">
      <c r="B96" s="185"/>
      <c r="C96" s="185"/>
      <c r="D96" s="185"/>
      <c r="E96" s="185"/>
      <c r="F96" s="185"/>
      <c r="G96" s="185"/>
      <c r="H96" s="185"/>
      <c r="I96" s="185"/>
      <c r="J96" s="185"/>
      <c r="K96" s="185"/>
      <c r="L96" s="185"/>
      <c r="M96" s="185"/>
    </row>
    <row r="97" spans="1:13" ht="15.75">
      <c r="B97" s="185"/>
      <c r="C97" s="185"/>
      <c r="D97" s="185"/>
      <c r="E97" s="185"/>
      <c r="F97" s="185"/>
      <c r="G97" s="185"/>
      <c r="H97" s="185"/>
      <c r="I97" s="185"/>
      <c r="J97" s="185"/>
      <c r="K97" s="185"/>
      <c r="L97" s="185"/>
      <c r="M97" s="185"/>
    </row>
    <row r="98" spans="1:13" ht="15.75">
      <c r="A98" s="209"/>
      <c r="B98" s="185"/>
      <c r="C98" s="185"/>
      <c r="D98" s="185"/>
      <c r="E98" s="185"/>
      <c r="F98" s="185"/>
      <c r="G98" s="185"/>
      <c r="H98" s="185"/>
      <c r="I98" s="185"/>
      <c r="J98" s="185"/>
      <c r="K98" s="185"/>
      <c r="L98" s="185"/>
      <c r="M98" s="185"/>
    </row>
    <row r="99" spans="1:13" ht="15.75">
      <c r="A99" s="209"/>
      <c r="B99" s="238"/>
      <c r="C99" s="238"/>
      <c r="D99" s="238"/>
      <c r="E99" s="238"/>
      <c r="F99" s="238"/>
      <c r="G99" s="238"/>
      <c r="H99" s="238"/>
      <c r="I99" s="238"/>
      <c r="J99" s="238"/>
      <c r="K99" s="238"/>
      <c r="L99" s="238"/>
      <c r="M99" s="238"/>
    </row>
    <row r="100" spans="1:13" ht="15.75">
      <c r="A100" s="209"/>
      <c r="B100" s="239"/>
      <c r="C100" s="238"/>
      <c r="D100" s="238"/>
      <c r="E100" s="238"/>
      <c r="F100" s="238"/>
      <c r="G100" s="238"/>
      <c r="H100" s="238"/>
      <c r="I100" s="238"/>
      <c r="J100" s="238"/>
      <c r="K100" s="238"/>
      <c r="L100" s="238"/>
      <c r="M100" s="238"/>
    </row>
    <row r="101" spans="1:13" ht="15.75">
      <c r="A101" s="209"/>
      <c r="B101" s="239"/>
      <c r="C101" s="239"/>
      <c r="D101" s="238"/>
      <c r="E101" s="238"/>
      <c r="F101" s="238"/>
      <c r="G101" s="238"/>
      <c r="H101" s="238"/>
      <c r="I101" s="238"/>
      <c r="J101" s="238"/>
      <c r="K101" s="238"/>
      <c r="L101" s="238"/>
      <c r="M101" s="238"/>
    </row>
    <row r="102" spans="1:13" ht="15.75">
      <c r="A102" s="209"/>
      <c r="B102" s="239"/>
      <c r="C102" s="239"/>
      <c r="D102" s="239"/>
      <c r="E102" s="238"/>
      <c r="F102" s="238"/>
      <c r="G102" s="238"/>
      <c r="H102" s="238"/>
      <c r="I102" s="238"/>
      <c r="J102" s="238"/>
      <c r="K102" s="238"/>
      <c r="L102" s="238"/>
      <c r="M102" s="238"/>
    </row>
    <row r="103" spans="1:13" ht="15.75">
      <c r="A103" s="209"/>
      <c r="B103" s="239"/>
      <c r="C103" s="239"/>
      <c r="D103" s="239"/>
      <c r="E103" s="239"/>
      <c r="F103" s="238"/>
      <c r="G103" s="238"/>
      <c r="H103" s="238"/>
      <c r="I103" s="238"/>
      <c r="J103" s="238"/>
      <c r="K103" s="238"/>
      <c r="L103" s="238"/>
      <c r="M103" s="238"/>
    </row>
    <row r="104" spans="1:13" ht="15.75">
      <c r="A104" s="209"/>
      <c r="B104" s="239"/>
      <c r="C104" s="239"/>
      <c r="D104" s="239"/>
      <c r="E104" s="239"/>
      <c r="F104" s="239"/>
      <c r="G104" s="238"/>
      <c r="H104" s="238"/>
      <c r="I104" s="238"/>
      <c r="J104" s="238"/>
      <c r="K104" s="238"/>
      <c r="L104" s="238"/>
      <c r="M104" s="238"/>
    </row>
    <row r="105" spans="1:13" ht="15.75">
      <c r="A105" s="209"/>
      <c r="B105" s="239"/>
      <c r="C105" s="239"/>
      <c r="D105" s="239"/>
      <c r="E105" s="239"/>
      <c r="F105" s="239"/>
      <c r="G105" s="239"/>
      <c r="H105" s="238"/>
      <c r="I105" s="238"/>
      <c r="J105" s="238"/>
      <c r="K105" s="238"/>
      <c r="L105" s="238"/>
      <c r="M105" s="238"/>
    </row>
    <row r="106" spans="1:13" ht="15.75">
      <c r="A106" s="209"/>
      <c r="B106" s="239"/>
      <c r="C106" s="239"/>
      <c r="D106" s="239"/>
      <c r="E106" s="239"/>
      <c r="F106" s="239"/>
      <c r="G106" s="239"/>
      <c r="H106" s="239"/>
      <c r="I106" s="238"/>
      <c r="J106" s="238"/>
      <c r="K106" s="238"/>
      <c r="L106" s="238"/>
      <c r="M106" s="238"/>
    </row>
    <row r="107" spans="1:13" ht="15.75">
      <c r="A107" s="209"/>
      <c r="B107" s="239"/>
      <c r="C107" s="239"/>
      <c r="D107" s="239"/>
      <c r="E107" s="239"/>
      <c r="F107" s="239"/>
      <c r="G107" s="239"/>
      <c r="H107" s="239"/>
      <c r="I107" s="239"/>
      <c r="J107" s="238"/>
      <c r="K107" s="238"/>
      <c r="L107" s="238"/>
      <c r="M107" s="238"/>
    </row>
    <row r="108" spans="1:13" ht="15.75">
      <c r="A108" s="209"/>
      <c r="B108" s="239"/>
      <c r="C108" s="239"/>
      <c r="D108" s="239"/>
      <c r="E108" s="239"/>
      <c r="F108" s="239"/>
      <c r="G108" s="239"/>
      <c r="H108" s="239"/>
      <c r="I108" s="239"/>
      <c r="J108" s="239"/>
      <c r="K108" s="238"/>
      <c r="L108" s="238"/>
      <c r="M108" s="238"/>
    </row>
    <row r="109" spans="1:13" ht="15.75">
      <c r="A109" s="209"/>
      <c r="B109" s="239"/>
      <c r="C109" s="239"/>
      <c r="D109" s="239"/>
      <c r="E109" s="239"/>
      <c r="F109" s="239"/>
      <c r="G109" s="239"/>
      <c r="H109" s="239"/>
      <c r="I109" s="239"/>
      <c r="J109" s="239"/>
      <c r="K109" s="239"/>
      <c r="L109" s="238"/>
      <c r="M109" s="238"/>
    </row>
    <row r="110" spans="1:13" ht="15.75">
      <c r="A110" s="209"/>
      <c r="B110" s="239"/>
      <c r="C110" s="239"/>
      <c r="D110" s="239"/>
      <c r="E110" s="239"/>
      <c r="F110" s="239"/>
      <c r="G110" s="239"/>
      <c r="H110" s="239"/>
      <c r="I110" s="239"/>
      <c r="J110" s="239"/>
      <c r="K110" s="239"/>
      <c r="L110" s="239"/>
      <c r="M110" s="238"/>
    </row>
    <row r="111" spans="1:13" ht="15.75">
      <c r="A111" s="209"/>
    </row>
    <row r="118" spans="1:14" ht="15.75">
      <c r="A118" s="209"/>
      <c r="B118" s="185"/>
      <c r="C118" s="185"/>
      <c r="D118" s="185"/>
      <c r="E118" s="185"/>
      <c r="F118" s="185"/>
      <c r="G118" s="185"/>
      <c r="H118" s="185"/>
      <c r="I118" s="185"/>
      <c r="J118" s="185"/>
      <c r="K118" s="185"/>
      <c r="L118" s="185"/>
      <c r="M118" s="185"/>
    </row>
    <row r="119" spans="1:14" ht="15.75">
      <c r="A119" s="209"/>
      <c r="B119" s="185"/>
      <c r="C119" s="185"/>
      <c r="D119" s="185"/>
      <c r="E119" s="185"/>
      <c r="F119" s="185"/>
      <c r="G119" s="185"/>
      <c r="H119" s="185"/>
      <c r="I119" s="185"/>
      <c r="J119" s="185"/>
      <c r="K119" s="185"/>
      <c r="L119" s="185"/>
      <c r="M119" s="185"/>
    </row>
    <row r="120" spans="1:14" ht="15.75">
      <c r="A120" s="209"/>
    </row>
    <row r="121" spans="1:14" ht="15.75">
      <c r="A121" s="209"/>
      <c r="B121" s="236"/>
      <c r="C121" s="236"/>
      <c r="D121" s="236"/>
      <c r="E121" s="236"/>
      <c r="F121" s="236"/>
      <c r="G121" s="236"/>
      <c r="H121" s="236"/>
      <c r="I121" s="236"/>
      <c r="J121" s="236"/>
      <c r="K121" s="236"/>
      <c r="L121" s="236"/>
      <c r="M121" s="236"/>
      <c r="N121" s="236"/>
    </row>
    <row r="122" spans="1:14" ht="15.75">
      <c r="A122" s="209"/>
      <c r="C122" s="236"/>
      <c r="D122" s="236"/>
      <c r="E122" s="236"/>
      <c r="F122" s="236"/>
      <c r="G122" s="236"/>
      <c r="H122" s="236"/>
      <c r="I122" s="236"/>
      <c r="J122" s="236"/>
      <c r="K122" s="236"/>
      <c r="L122" s="236"/>
      <c r="M122" s="236"/>
      <c r="N122" s="236"/>
    </row>
    <row r="123" spans="1:14" ht="15.75">
      <c r="A123" s="209"/>
      <c r="D123" s="236"/>
      <c r="E123" s="236"/>
      <c r="F123" s="236"/>
      <c r="G123" s="236"/>
      <c r="H123" s="236"/>
      <c r="I123" s="236"/>
      <c r="J123" s="236"/>
      <c r="K123" s="236"/>
      <c r="L123" s="236"/>
      <c r="M123" s="236"/>
      <c r="N123" s="236"/>
    </row>
    <row r="124" spans="1:14" ht="15.75">
      <c r="A124" s="209"/>
      <c r="E124" s="236"/>
      <c r="F124" s="236"/>
      <c r="G124" s="236"/>
      <c r="H124" s="236"/>
      <c r="I124" s="236"/>
      <c r="J124" s="236"/>
      <c r="K124" s="236"/>
      <c r="L124" s="236"/>
      <c r="M124" s="236"/>
      <c r="N124" s="236"/>
    </row>
    <row r="125" spans="1:14" ht="15.75">
      <c r="A125" s="209"/>
      <c r="F125" s="236"/>
      <c r="G125" s="236"/>
      <c r="H125" s="236"/>
      <c r="I125" s="236"/>
      <c r="J125" s="236"/>
      <c r="K125" s="236"/>
      <c r="L125" s="236"/>
      <c r="M125" s="236"/>
      <c r="N125" s="236"/>
    </row>
  </sheetData>
  <phoneticPr fontId="2" type="noConversion"/>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A1:AM306"/>
  <sheetViews>
    <sheetView zoomScale="90" workbookViewId="0"/>
  </sheetViews>
  <sheetFormatPr defaultRowHeight="15"/>
  <cols>
    <col min="1" max="1" width="26.21875" style="137" customWidth="1"/>
    <col min="2" max="2" width="9.88671875" style="137" customWidth="1"/>
    <col min="3" max="3" width="10.88671875" style="137" customWidth="1"/>
    <col min="4" max="4" width="9" style="137" bestFit="1" customWidth="1"/>
    <col min="5" max="15" width="8.88671875" style="137"/>
    <col min="16" max="16" width="8.88671875" style="138"/>
    <col min="17" max="16384" width="8.88671875" style="137"/>
  </cols>
  <sheetData>
    <row r="1" spans="1:39" ht="16.5" thickBot="1">
      <c r="A1" s="136" t="s">
        <v>171</v>
      </c>
      <c r="G1" s="188"/>
      <c r="H1" s="188"/>
      <c r="I1" s="188"/>
      <c r="J1" s="138"/>
      <c r="K1" s="138"/>
      <c r="L1" s="240"/>
      <c r="M1" s="241"/>
      <c r="N1" s="241"/>
      <c r="O1" s="242" t="s">
        <v>148</v>
      </c>
      <c r="Q1" s="138"/>
      <c r="R1" s="138"/>
      <c r="S1" s="138"/>
      <c r="T1" s="138"/>
      <c r="U1" s="138"/>
      <c r="V1" s="138"/>
      <c r="W1" s="138"/>
      <c r="X1" s="243">
        <f>N37</f>
        <v>2.2616033336539743</v>
      </c>
      <c r="Y1" s="244">
        <f>N54</f>
        <v>2.3218113566687856E-4</v>
      </c>
      <c r="Z1" s="138"/>
      <c r="AA1" s="138"/>
      <c r="AB1" s="138"/>
      <c r="AC1" s="138"/>
      <c r="AD1" s="138"/>
      <c r="AJ1" s="138"/>
      <c r="AK1" s="138"/>
      <c r="AL1" s="138"/>
      <c r="AM1" s="138"/>
    </row>
    <row r="2" spans="1:39" ht="15.75" thickBot="1">
      <c r="A2" s="139" t="s">
        <v>58</v>
      </c>
      <c r="B2" s="140"/>
      <c r="C2" s="141" t="s">
        <v>0</v>
      </c>
      <c r="D2" s="144"/>
      <c r="E2" s="144"/>
      <c r="F2" s="144"/>
      <c r="G2" s="144"/>
      <c r="H2" s="142"/>
      <c r="L2" s="245"/>
      <c r="M2" s="186" t="s">
        <v>108</v>
      </c>
      <c r="N2" s="246">
        <f>N3/B25</f>
        <v>0.42362819539851698</v>
      </c>
      <c r="O2" s="247">
        <f>N2/SQRT(12*B3)</f>
        <v>0.42362819539851698</v>
      </c>
      <c r="S2" s="138"/>
      <c r="T2" s="138"/>
      <c r="U2" s="138"/>
      <c r="V2" s="138"/>
      <c r="W2" s="138"/>
      <c r="X2" s="248">
        <f>N36</f>
        <v>2.8652617138876249</v>
      </c>
      <c r="Y2" s="249">
        <f>N53</f>
        <v>2.8095458293535902E-3</v>
      </c>
      <c r="Z2" s="138"/>
      <c r="AA2" s="138"/>
      <c r="AB2" s="138"/>
      <c r="AC2" s="138"/>
      <c r="AD2" s="138"/>
      <c r="AJ2" s="138"/>
      <c r="AK2" s="138"/>
      <c r="AL2" s="138"/>
      <c r="AM2" s="138"/>
    </row>
    <row r="3" spans="1:39">
      <c r="A3" s="145" t="s">
        <v>59</v>
      </c>
      <c r="B3" s="146">
        <f>1/12</f>
        <v>8.3333333333333329E-2</v>
      </c>
      <c r="C3" s="147"/>
      <c r="D3" s="149"/>
      <c r="E3" s="149"/>
      <c r="F3" s="149"/>
      <c r="G3" s="149"/>
      <c r="H3" s="148"/>
      <c r="L3" s="250"/>
      <c r="M3" s="203"/>
      <c r="N3" s="203">
        <f>SQRT(N4)</f>
        <v>4.3334033776904288</v>
      </c>
      <c r="O3" s="251"/>
      <c r="S3" s="138"/>
      <c r="T3" s="138"/>
      <c r="U3" s="138"/>
      <c r="V3" s="138"/>
      <c r="W3" s="138"/>
      <c r="X3" s="248">
        <f>N35</f>
        <v>3.6300462450266018</v>
      </c>
      <c r="Y3" s="249">
        <f>N52</f>
        <v>1.5582127503997113E-2</v>
      </c>
      <c r="Z3" s="138"/>
      <c r="AA3" s="138"/>
      <c r="AB3" s="138"/>
      <c r="AC3" s="138"/>
      <c r="AD3" s="138"/>
      <c r="AJ3" s="138"/>
      <c r="AK3" s="138"/>
      <c r="AL3" s="138"/>
      <c r="AM3" s="138"/>
    </row>
    <row r="4" spans="1:39">
      <c r="A4" s="145" t="s">
        <v>60</v>
      </c>
      <c r="B4" s="152">
        <v>0.03</v>
      </c>
      <c r="C4" s="147" t="s">
        <v>2</v>
      </c>
      <c r="D4" s="154">
        <f>B4*B$3</f>
        <v>2.4999999999999996E-3</v>
      </c>
      <c r="E4" s="252" t="s">
        <v>139</v>
      </c>
      <c r="F4" s="154">
        <f>(1+D4)^(1/B$3)-1</f>
        <v>3.0415956913506736E-2</v>
      </c>
      <c r="G4" s="149" t="s">
        <v>157</v>
      </c>
      <c r="H4" s="148"/>
      <c r="L4" s="250"/>
      <c r="M4" s="203"/>
      <c r="N4" s="203">
        <f>SUM(N6:N18)</f>
        <v>18.778384833778819</v>
      </c>
      <c r="O4" s="251"/>
      <c r="S4" s="138"/>
      <c r="T4" s="138"/>
      <c r="U4" s="138"/>
      <c r="V4" s="138"/>
      <c r="W4" s="138"/>
      <c r="X4" s="248">
        <f>N34</f>
        <v>4.5989640936334162</v>
      </c>
      <c r="Y4" s="249">
        <f>N51</f>
        <v>5.2376134424779411E-2</v>
      </c>
      <c r="Z4" s="138"/>
      <c r="AA4" s="138"/>
      <c r="AB4" s="138"/>
      <c r="AC4" s="138"/>
      <c r="AD4" s="138"/>
      <c r="AE4" s="155"/>
      <c r="AF4" s="155"/>
      <c r="AG4" s="155"/>
      <c r="AH4" s="155"/>
      <c r="AI4" s="155"/>
      <c r="AJ4" s="138"/>
      <c r="AK4" s="138"/>
      <c r="AL4" s="138"/>
      <c r="AM4" s="138"/>
    </row>
    <row r="5" spans="1:39">
      <c r="A5" s="145" t="s">
        <v>63</v>
      </c>
      <c r="B5" s="152">
        <v>0.09</v>
      </c>
      <c r="C5" s="147" t="s">
        <v>65</v>
      </c>
      <c r="D5" s="154">
        <f>B5*B$3</f>
        <v>7.4999999999999997E-3</v>
      </c>
      <c r="E5" s="252" t="s">
        <v>139</v>
      </c>
      <c r="F5" s="154">
        <f>(1+D5)^(1/B$3)-1</f>
        <v>9.3806897670984268E-2</v>
      </c>
      <c r="G5" s="149" t="s">
        <v>157</v>
      </c>
      <c r="H5" s="148"/>
      <c r="L5" s="250"/>
      <c r="M5" s="203"/>
      <c r="N5" s="203"/>
      <c r="O5" s="251"/>
      <c r="S5" s="138"/>
      <c r="T5" s="138"/>
      <c r="U5" s="138"/>
      <c r="V5" s="138"/>
      <c r="W5" s="138"/>
      <c r="X5" s="248">
        <f>N33</f>
        <v>5.8265017321768102</v>
      </c>
      <c r="Y5" s="249">
        <f>N50</f>
        <v>0.11883487240049433</v>
      </c>
      <c r="Z5" s="138"/>
      <c r="AA5" s="138"/>
      <c r="AB5" s="138"/>
      <c r="AC5" s="138"/>
      <c r="AD5" s="138"/>
      <c r="AE5" s="155"/>
      <c r="AF5" s="155"/>
      <c r="AG5" s="155"/>
      <c r="AH5" s="155"/>
      <c r="AI5" s="155"/>
      <c r="AJ5" s="138"/>
      <c r="AK5" s="138"/>
      <c r="AL5" s="138"/>
      <c r="AM5" s="138"/>
    </row>
    <row r="6" spans="1:39">
      <c r="A6" s="145" t="s">
        <v>107</v>
      </c>
      <c r="B6" s="152">
        <f>B5</f>
        <v>0.09</v>
      </c>
      <c r="C6" s="147" t="s">
        <v>64</v>
      </c>
      <c r="D6" s="154">
        <f>B6*B$3</f>
        <v>7.4999999999999997E-3</v>
      </c>
      <c r="E6" s="252" t="s">
        <v>139</v>
      </c>
      <c r="F6" s="154">
        <f>(1+D6)^(1/B$3)-1</f>
        <v>9.3806897670984268E-2</v>
      </c>
      <c r="G6" s="149" t="s">
        <v>157</v>
      </c>
      <c r="H6" s="148"/>
      <c r="L6" s="250">
        <f t="shared" ref="L6:L18" si="0">X1-N$20</f>
        <v>-7.9676576663460175</v>
      </c>
      <c r="M6" s="203">
        <f t="shared" ref="M6:M18" si="1">L6^2</f>
        <v>63.483568688082464</v>
      </c>
      <c r="N6" s="203">
        <f t="shared" ref="N6:N18" si="2">M6*Y1</f>
        <v>1.4739687074185279E-2</v>
      </c>
      <c r="O6" s="251"/>
      <c r="S6" s="138"/>
      <c r="T6" s="138"/>
      <c r="U6" s="138"/>
      <c r="V6" s="138"/>
      <c r="W6" s="138"/>
      <c r="X6" s="248">
        <f>N32</f>
        <v>7.3816889507912267</v>
      </c>
      <c r="Y6" s="249">
        <f>N49</f>
        <v>0.19173077616067088</v>
      </c>
      <c r="Z6" s="138"/>
      <c r="AA6" s="138"/>
      <c r="AB6" s="138"/>
      <c r="AC6" s="138"/>
      <c r="AD6" s="138"/>
      <c r="AE6" s="155"/>
      <c r="AF6" s="155"/>
      <c r="AG6" s="155"/>
      <c r="AH6" s="155"/>
      <c r="AI6" s="155"/>
      <c r="AJ6" s="138"/>
      <c r="AK6" s="138"/>
      <c r="AL6" s="138"/>
      <c r="AM6" s="138"/>
    </row>
    <row r="7" spans="1:39">
      <c r="A7" s="145" t="s">
        <v>62</v>
      </c>
      <c r="B7" s="152">
        <f>0</f>
        <v>0</v>
      </c>
      <c r="C7" s="147" t="s">
        <v>4</v>
      </c>
      <c r="D7" s="154">
        <f>B7*B$3</f>
        <v>0</v>
      </c>
      <c r="E7" s="252" t="s">
        <v>139</v>
      </c>
      <c r="F7" s="154">
        <f>(1+D7)^(1/B$3)-1</f>
        <v>0</v>
      </c>
      <c r="G7" s="149" t="s">
        <v>157</v>
      </c>
      <c r="H7" s="148"/>
      <c r="L7" s="250">
        <f t="shared" si="0"/>
        <v>-7.3639992861123673</v>
      </c>
      <c r="M7" s="203">
        <f t="shared" si="1"/>
        <v>54.228485485863459</v>
      </c>
      <c r="N7" s="203">
        <f t="shared" si="2"/>
        <v>0.1523574152289694</v>
      </c>
      <c r="O7" s="251"/>
      <c r="S7" s="138"/>
      <c r="T7" s="138"/>
      <c r="U7" s="138"/>
      <c r="V7" s="138"/>
      <c r="W7" s="138"/>
      <c r="X7" s="248">
        <f>N31</f>
        <v>9.3519807031578459</v>
      </c>
      <c r="Y7" s="249">
        <f>N48</f>
        <v>0.22556232555816969</v>
      </c>
      <c r="Z7" s="138"/>
      <c r="AA7" s="138"/>
      <c r="AB7" s="138"/>
      <c r="AC7" s="138"/>
      <c r="AD7" s="138"/>
      <c r="AE7" s="155"/>
      <c r="AF7" s="155"/>
      <c r="AG7" s="155"/>
      <c r="AH7" s="155"/>
      <c r="AI7" s="155"/>
      <c r="AJ7" s="138"/>
      <c r="AK7" s="138"/>
      <c r="AL7" s="138"/>
      <c r="AM7" s="138"/>
    </row>
    <row r="8" spans="1:39">
      <c r="A8" s="145" t="s">
        <v>155</v>
      </c>
      <c r="B8" s="156">
        <v>12</v>
      </c>
      <c r="C8" s="147" t="s">
        <v>105</v>
      </c>
      <c r="D8" s="154">
        <f>(1+D5)/(1+D6)-1</f>
        <v>0</v>
      </c>
      <c r="E8" s="252" t="s">
        <v>139</v>
      </c>
      <c r="F8" s="154">
        <f>(1+D8)^(1/B$3)-1</f>
        <v>0</v>
      </c>
      <c r="G8" s="149" t="s">
        <v>157</v>
      </c>
      <c r="H8" s="153"/>
      <c r="I8" s="138"/>
      <c r="J8" s="138"/>
      <c r="K8" s="138"/>
      <c r="L8" s="250">
        <f t="shared" si="0"/>
        <v>-6.5992147549733904</v>
      </c>
      <c r="M8" s="203">
        <f t="shared" si="1"/>
        <v>43.549635382258508</v>
      </c>
      <c r="N8" s="203">
        <f t="shared" si="2"/>
        <v>0.67859597127893612</v>
      </c>
      <c r="O8" s="251"/>
      <c r="Q8" s="138"/>
      <c r="R8" s="138"/>
      <c r="S8" s="138"/>
      <c r="T8" s="138"/>
      <c r="U8" s="138"/>
      <c r="V8" s="138"/>
      <c r="W8" s="138"/>
      <c r="X8" s="248">
        <f>N30</f>
        <v>11.848175079615366</v>
      </c>
      <c r="Y8" s="249">
        <f>N47</f>
        <v>0.19496098817448776</v>
      </c>
      <c r="Z8" s="138"/>
      <c r="AA8" s="138"/>
      <c r="AB8" s="138"/>
      <c r="AC8" s="138"/>
      <c r="AD8" s="138"/>
      <c r="AE8" s="155"/>
      <c r="AF8" s="155"/>
      <c r="AG8" s="155"/>
      <c r="AH8" s="155"/>
      <c r="AI8" s="155"/>
      <c r="AJ8" s="138"/>
      <c r="AK8" s="138"/>
      <c r="AL8" s="138"/>
      <c r="AM8" s="138"/>
    </row>
    <row r="9" spans="1:39">
      <c r="A9" s="145" t="s">
        <v>61</v>
      </c>
      <c r="B9" s="157">
        <v>0.435</v>
      </c>
      <c r="C9" s="147" t="s">
        <v>3</v>
      </c>
      <c r="D9" s="154">
        <f>B9*SQRT(B$3)</f>
        <v>0.1255736835487436</v>
      </c>
      <c r="E9" s="149"/>
      <c r="F9" s="149"/>
      <c r="G9" s="149"/>
      <c r="H9" s="148"/>
      <c r="I9" s="138"/>
      <c r="J9" s="138"/>
      <c r="K9" s="138"/>
      <c r="L9" s="250">
        <f t="shared" si="0"/>
        <v>-5.630296906366576</v>
      </c>
      <c r="M9" s="203">
        <f t="shared" si="1"/>
        <v>31.700243253841037</v>
      </c>
      <c r="N9" s="203">
        <f t="shared" si="2"/>
        <v>1.6603362019613848</v>
      </c>
      <c r="O9" s="251"/>
      <c r="Q9" s="138"/>
      <c r="R9" s="138"/>
      <c r="S9" s="253"/>
      <c r="T9" s="138"/>
      <c r="U9" s="138"/>
      <c r="V9" s="138"/>
      <c r="W9" s="138"/>
      <c r="X9" s="248">
        <f>N29</f>
        <v>15.01064396655751</v>
      </c>
      <c r="Y9" s="249">
        <f>N46</f>
        <v>0.12287277830316425</v>
      </c>
      <c r="Z9" s="138"/>
      <c r="AA9" s="138"/>
      <c r="AB9" s="138"/>
      <c r="AC9" s="138"/>
      <c r="AD9" s="138"/>
      <c r="AE9" s="155"/>
      <c r="AF9" s="155"/>
      <c r="AG9" s="155"/>
      <c r="AH9" s="155"/>
      <c r="AI9" s="155"/>
      <c r="AJ9" s="138"/>
      <c r="AK9" s="138"/>
      <c r="AL9" s="138"/>
      <c r="AM9" s="138"/>
    </row>
    <row r="10" spans="1:39">
      <c r="A10" s="145" t="s">
        <v>16</v>
      </c>
      <c r="B10" s="292">
        <v>10.229260999999999</v>
      </c>
      <c r="C10" s="147" t="s">
        <v>76</v>
      </c>
      <c r="D10" s="154">
        <f>(1+D4)/(1+D7)-1</f>
        <v>2.4999999999999467E-3</v>
      </c>
      <c r="E10" s="254"/>
      <c r="F10" s="149"/>
      <c r="G10" s="149"/>
      <c r="H10" s="148"/>
      <c r="I10" s="138"/>
      <c r="J10" s="138"/>
      <c r="K10" s="138"/>
      <c r="L10" s="250">
        <f t="shared" si="0"/>
        <v>-4.4027592678231819</v>
      </c>
      <c r="M10" s="203">
        <f t="shared" si="1"/>
        <v>19.384289170402923</v>
      </c>
      <c r="N10" s="203">
        <f t="shared" si="2"/>
        <v>2.3035295301391154</v>
      </c>
      <c r="O10" s="251"/>
      <c r="Q10" s="138"/>
      <c r="R10" s="138"/>
      <c r="S10" s="138"/>
      <c r="T10" s="138"/>
      <c r="U10" s="138"/>
      <c r="V10" s="138"/>
      <c r="W10" s="138"/>
      <c r="X10" s="248">
        <f>N28</f>
        <v>19.017226769243862</v>
      </c>
      <c r="Y10" s="249">
        <f>N45</f>
        <v>5.5068228236927599E-2</v>
      </c>
      <c r="Z10" s="138"/>
      <c r="AA10" s="138"/>
      <c r="AB10" s="138"/>
      <c r="AC10" s="138"/>
      <c r="AD10" s="138"/>
      <c r="AE10" s="155"/>
      <c r="AF10" s="155"/>
      <c r="AG10" s="155"/>
      <c r="AH10" s="155"/>
      <c r="AI10" s="155"/>
      <c r="AJ10" s="138"/>
      <c r="AK10" s="138"/>
      <c r="AL10" s="138"/>
      <c r="AM10" s="138"/>
    </row>
    <row r="11" spans="1:39">
      <c r="A11" s="145" t="s">
        <v>17</v>
      </c>
      <c r="B11" s="292">
        <f>6.068009</f>
        <v>6.068009</v>
      </c>
      <c r="C11" s="147" t="s">
        <v>1</v>
      </c>
      <c r="D11" s="255">
        <f>((1+D5)-1/(1+D9))/((1+D9)-1/(1+D9))</f>
        <v>0.5020884000287329</v>
      </c>
      <c r="E11" s="149"/>
      <c r="F11" s="149"/>
      <c r="G11" s="149"/>
      <c r="H11" s="148"/>
      <c r="I11" s="138"/>
      <c r="J11" s="138"/>
      <c r="K11" s="138"/>
      <c r="L11" s="250">
        <f t="shared" si="0"/>
        <v>-2.8475720492087655</v>
      </c>
      <c r="M11" s="203">
        <f t="shared" si="1"/>
        <v>8.1086665754350076</v>
      </c>
      <c r="N11" s="203">
        <f t="shared" si="2"/>
        <v>1.5546809361362433</v>
      </c>
      <c r="O11" s="251"/>
      <c r="Q11" s="164"/>
      <c r="R11" s="138"/>
      <c r="S11" s="138"/>
      <c r="T11" s="138"/>
      <c r="U11" s="138"/>
      <c r="V11" s="138"/>
      <c r="W11" s="164"/>
      <c r="X11" s="248">
        <f>N27</f>
        <v>24.093231096452826</v>
      </c>
      <c r="Y11" s="249">
        <f>N44</f>
        <v>1.6659052696999795E-2</v>
      </c>
      <c r="Z11" s="138"/>
      <c r="AA11" s="138"/>
      <c r="AB11" s="138"/>
      <c r="AC11" s="138"/>
      <c r="AD11" s="138"/>
      <c r="AE11" s="155"/>
      <c r="AF11" s="155"/>
      <c r="AG11" s="155"/>
      <c r="AH11" s="155"/>
      <c r="AI11" s="155"/>
      <c r="AJ11" s="138"/>
      <c r="AK11" s="138"/>
      <c r="AL11" s="138"/>
      <c r="AM11" s="138"/>
    </row>
    <row r="12" spans="1:39" s="155" customFormat="1">
      <c r="A12" s="145"/>
      <c r="B12" s="156"/>
      <c r="C12" s="162" t="s">
        <v>6</v>
      </c>
      <c r="D12" s="256">
        <f>(1+D9)</f>
        <v>1.1255736835487435</v>
      </c>
      <c r="E12" s="149"/>
      <c r="F12" s="149"/>
      <c r="G12" s="149"/>
      <c r="H12" s="257"/>
      <c r="I12" s="138"/>
      <c r="J12" s="138"/>
      <c r="K12" s="138"/>
      <c r="L12" s="250">
        <f t="shared" si="0"/>
        <v>-0.87728029684214626</v>
      </c>
      <c r="M12" s="203">
        <f t="shared" si="1"/>
        <v>0.76962071922744424</v>
      </c>
      <c r="N12" s="203">
        <f t="shared" si="2"/>
        <v>0.17359743922669349</v>
      </c>
      <c r="O12" s="251"/>
      <c r="P12" s="138"/>
      <c r="Q12" s="138"/>
      <c r="R12" s="138"/>
      <c r="S12" s="138"/>
      <c r="T12" s="138"/>
      <c r="U12" s="138"/>
      <c r="V12" s="138"/>
      <c r="W12" s="164"/>
      <c r="X12" s="248">
        <f>N26</f>
        <v>30.524102789050442</v>
      </c>
      <c r="Y12" s="249">
        <f>N43</f>
        <v>3.0543271737807757E-3</v>
      </c>
      <c r="Z12" s="138"/>
      <c r="AA12" s="138"/>
      <c r="AB12" s="138"/>
      <c r="AC12" s="138"/>
      <c r="AD12" s="138"/>
      <c r="AE12" s="138"/>
      <c r="AF12" s="138"/>
      <c r="AG12" s="138"/>
      <c r="AH12" s="138"/>
      <c r="AI12" s="138"/>
      <c r="AJ12" s="138"/>
      <c r="AK12" s="138"/>
      <c r="AL12" s="138"/>
      <c r="AM12" s="138"/>
    </row>
    <row r="13" spans="1:39" s="155" customFormat="1" ht="15.75" thickBot="1">
      <c r="A13" s="145"/>
      <c r="B13" s="156"/>
      <c r="C13" s="165" t="s">
        <v>15</v>
      </c>
      <c r="D13" s="258">
        <f>1/D12</f>
        <v>0.88843583908888935</v>
      </c>
      <c r="E13" s="259"/>
      <c r="F13" s="173"/>
      <c r="G13" s="173"/>
      <c r="H13" s="174"/>
      <c r="I13" s="138"/>
      <c r="J13" s="138"/>
      <c r="K13" s="138"/>
      <c r="L13" s="250">
        <f t="shared" si="0"/>
        <v>1.618914079615374</v>
      </c>
      <c r="M13" s="203">
        <f t="shared" si="1"/>
        <v>2.6208827971768938</v>
      </c>
      <c r="N13" s="203">
        <f t="shared" si="2"/>
        <v>0.51096990002712284</v>
      </c>
      <c r="O13" s="251"/>
      <c r="P13" s="138"/>
      <c r="Q13" s="138"/>
      <c r="R13" s="138"/>
      <c r="S13" s="138"/>
      <c r="T13" s="138"/>
      <c r="U13" s="138"/>
      <c r="V13" s="138"/>
      <c r="W13" s="164"/>
      <c r="X13" s="260">
        <f>N25</f>
        <v>38.671477783388362</v>
      </c>
      <c r="Y13" s="261">
        <f>N42</f>
        <v>2.566624015080132E-4</v>
      </c>
      <c r="Z13" s="138"/>
      <c r="AA13" s="138"/>
      <c r="AB13" s="138"/>
      <c r="AC13" s="138"/>
      <c r="AD13" s="138"/>
      <c r="AE13" s="138"/>
      <c r="AF13" s="138"/>
      <c r="AG13" s="138"/>
      <c r="AH13" s="138"/>
      <c r="AI13" s="138"/>
      <c r="AJ13" s="138"/>
      <c r="AK13" s="138"/>
      <c r="AL13" s="138"/>
      <c r="AM13" s="138"/>
    </row>
    <row r="14" spans="1:39" s="155" customFormat="1" ht="15.75">
      <c r="A14" s="145"/>
      <c r="B14" s="156"/>
      <c r="C14" s="262" t="s">
        <v>66</v>
      </c>
      <c r="D14" s="293">
        <f>B294</f>
        <v>3.0891937314845705</v>
      </c>
      <c r="E14" s="154" t="s">
        <v>149</v>
      </c>
      <c r="F14" s="149"/>
      <c r="G14" s="149"/>
      <c r="H14" s="148"/>
      <c r="I14" s="138"/>
      <c r="J14" s="138"/>
      <c r="K14" s="138"/>
      <c r="L14" s="250">
        <f t="shared" si="0"/>
        <v>4.7813829665575174</v>
      </c>
      <c r="M14" s="203">
        <f t="shared" si="1"/>
        <v>22.861623072886367</v>
      </c>
      <c r="N14" s="203">
        <f t="shared" si="2"/>
        <v>2.8090711434852711</v>
      </c>
      <c r="O14" s="251"/>
      <c r="P14" s="138"/>
      <c r="Q14" s="138"/>
      <c r="R14" s="138"/>
      <c r="S14" s="138"/>
      <c r="T14" s="138"/>
      <c r="U14" s="138"/>
      <c r="V14" s="138"/>
      <c r="W14" s="164"/>
      <c r="X14" s="138"/>
      <c r="Y14" s="138"/>
      <c r="Z14" s="138"/>
      <c r="AA14" s="138"/>
      <c r="AB14" s="138"/>
      <c r="AC14" s="138"/>
      <c r="AD14" s="138"/>
      <c r="AE14" s="138"/>
      <c r="AF14" s="138"/>
      <c r="AG14" s="138"/>
      <c r="AH14" s="138"/>
      <c r="AI14" s="138"/>
      <c r="AJ14" s="138"/>
      <c r="AK14" s="138"/>
      <c r="AL14" s="138"/>
      <c r="AM14" s="138"/>
    </row>
    <row r="15" spans="1:39" s="155" customFormat="1" ht="15.75">
      <c r="A15" s="145"/>
      <c r="B15" s="156"/>
      <c r="C15" s="147"/>
      <c r="D15" s="293">
        <f>B221</f>
        <v>3.4630880095935668</v>
      </c>
      <c r="E15" s="149" t="s">
        <v>147</v>
      </c>
      <c r="F15" s="149"/>
      <c r="G15" s="149"/>
      <c r="H15" s="148"/>
      <c r="I15" s="138"/>
      <c r="J15" s="138"/>
      <c r="K15" s="138"/>
      <c r="L15" s="250">
        <f t="shared" si="0"/>
        <v>8.7879657692438702</v>
      </c>
      <c r="M15" s="203">
        <f t="shared" si="1"/>
        <v>77.228342361402014</v>
      </c>
      <c r="N15" s="203">
        <f t="shared" si="2"/>
        <v>4.2528279835172702</v>
      </c>
      <c r="O15" s="251"/>
      <c r="P15" s="138"/>
      <c r="Q15" s="138"/>
      <c r="R15" s="138"/>
      <c r="S15" s="138"/>
      <c r="T15" s="138"/>
      <c r="U15" s="138"/>
      <c r="V15" s="138"/>
      <c r="W15" s="164"/>
      <c r="X15" s="138"/>
      <c r="Y15" s="138"/>
      <c r="Z15" s="138"/>
      <c r="AA15" s="138"/>
      <c r="AB15" s="138"/>
      <c r="AC15" s="138"/>
      <c r="AD15" s="138"/>
      <c r="AE15" s="138"/>
      <c r="AF15" s="138"/>
      <c r="AG15" s="138"/>
      <c r="AH15" s="138"/>
      <c r="AI15" s="138"/>
      <c r="AJ15" s="138"/>
      <c r="AK15" s="138"/>
      <c r="AL15" s="138"/>
      <c r="AM15" s="138"/>
    </row>
    <row r="16" spans="1:39" s="155" customFormat="1" ht="15.75">
      <c r="A16" s="145"/>
      <c r="B16" s="156"/>
      <c r="C16" s="147"/>
      <c r="D16" s="150" t="s">
        <v>158</v>
      </c>
      <c r="E16" s="263" t="str">
        <f>B239</f>
        <v>exer</v>
      </c>
      <c r="F16" s="149"/>
      <c r="G16" s="149"/>
      <c r="H16" s="148"/>
      <c r="I16" s="138"/>
      <c r="J16" s="138"/>
      <c r="K16" s="138"/>
      <c r="L16" s="250">
        <f t="shared" si="0"/>
        <v>13.863970096452833</v>
      </c>
      <c r="M16" s="203">
        <f t="shared" si="1"/>
        <v>192.2096668353384</v>
      </c>
      <c r="N16" s="203">
        <f t="shared" si="2"/>
        <v>3.202030968682676</v>
      </c>
      <c r="O16" s="251"/>
      <c r="P16" s="138"/>
      <c r="Q16" s="138"/>
      <c r="R16" s="138"/>
      <c r="S16" s="138"/>
      <c r="T16" s="138"/>
      <c r="U16" s="138"/>
      <c r="V16" s="138"/>
      <c r="W16" s="164"/>
      <c r="X16" s="138"/>
      <c r="Y16" s="138"/>
      <c r="Z16" s="138"/>
      <c r="AA16" s="138"/>
      <c r="AB16" s="138"/>
      <c r="AC16" s="138"/>
      <c r="AD16" s="138"/>
      <c r="AE16" s="138"/>
      <c r="AF16" s="138"/>
      <c r="AG16" s="138"/>
      <c r="AH16" s="138"/>
      <c r="AI16" s="138"/>
      <c r="AJ16" s="138"/>
      <c r="AK16" s="138"/>
      <c r="AL16" s="138"/>
      <c r="AM16" s="138"/>
    </row>
    <row r="17" spans="1:39" s="155" customFormat="1" ht="16.5" thickBot="1">
      <c r="A17" s="168" t="s">
        <v>7</v>
      </c>
      <c r="B17" s="264"/>
      <c r="C17" s="265" t="s">
        <v>159</v>
      </c>
      <c r="D17" s="309">
        <f>B277</f>
        <v>0.20169832226988604</v>
      </c>
      <c r="E17" s="266" t="s">
        <v>176</v>
      </c>
      <c r="F17" s="173"/>
      <c r="G17" s="173"/>
      <c r="H17" s="174"/>
      <c r="I17" s="138"/>
      <c r="J17" s="186"/>
      <c r="K17" s="138"/>
      <c r="L17" s="250">
        <f t="shared" si="0"/>
        <v>20.294841789050452</v>
      </c>
      <c r="M17" s="203">
        <f t="shared" si="1"/>
        <v>411.88060324258851</v>
      </c>
      <c r="N17" s="203">
        <f t="shared" si="2"/>
        <v>1.2580181188370563</v>
      </c>
      <c r="O17" s="251"/>
      <c r="P17" s="138"/>
      <c r="Q17" s="138"/>
      <c r="R17" s="138"/>
      <c r="S17" s="138"/>
      <c r="T17" s="138"/>
      <c r="U17" s="138"/>
      <c r="V17" s="138"/>
      <c r="W17" s="164"/>
      <c r="X17" s="138"/>
      <c r="Y17" s="138"/>
      <c r="Z17" s="138"/>
      <c r="AA17" s="138"/>
      <c r="AB17" s="138"/>
      <c r="AC17" s="138"/>
      <c r="AD17" s="138"/>
      <c r="AE17" s="138"/>
      <c r="AF17" s="138"/>
      <c r="AG17" s="138"/>
      <c r="AH17" s="138"/>
      <c r="AI17" s="138"/>
      <c r="AJ17" s="138"/>
      <c r="AK17" s="138"/>
      <c r="AL17" s="138"/>
      <c r="AM17" s="138"/>
    </row>
    <row r="18" spans="1:39" s="155" customFormat="1" ht="16.5" thickBot="1">
      <c r="A18" s="138"/>
      <c r="B18" s="138"/>
      <c r="C18" s="175"/>
      <c r="G18" s="138"/>
      <c r="H18" s="138"/>
      <c r="I18" s="138"/>
      <c r="J18" s="138"/>
      <c r="K18" s="138"/>
      <c r="L18" s="267">
        <f t="shared" si="0"/>
        <v>28.442216783388368</v>
      </c>
      <c r="M18" s="268">
        <f t="shared" si="1"/>
        <v>808.95969555325894</v>
      </c>
      <c r="N18" s="268">
        <f t="shared" si="2"/>
        <v>0.20762953818389066</v>
      </c>
      <c r="O18" s="269"/>
      <c r="P18" s="138"/>
      <c r="Q18" s="138"/>
      <c r="R18" s="138"/>
      <c r="S18" s="138"/>
      <c r="T18" s="138"/>
      <c r="U18" s="138"/>
      <c r="V18" s="138"/>
      <c r="W18" s="164"/>
      <c r="X18" s="138"/>
      <c r="Y18" s="138"/>
      <c r="Z18" s="138"/>
      <c r="AA18" s="138"/>
      <c r="AB18" s="138"/>
      <c r="AC18" s="138"/>
      <c r="AD18" s="138"/>
      <c r="AE18" s="138"/>
      <c r="AF18" s="138"/>
      <c r="AG18" s="138"/>
      <c r="AH18" s="138"/>
      <c r="AI18" s="138"/>
      <c r="AJ18" s="138"/>
      <c r="AK18" s="138"/>
      <c r="AL18" s="138"/>
      <c r="AM18" s="138"/>
    </row>
    <row r="19" spans="1:39" ht="15.75">
      <c r="B19" s="185">
        <v>0</v>
      </c>
      <c r="C19" s="185">
        <v>1</v>
      </c>
      <c r="D19" s="185">
        <v>2</v>
      </c>
      <c r="E19" s="185">
        <v>3</v>
      </c>
      <c r="F19" s="185">
        <v>4</v>
      </c>
      <c r="G19" s="185">
        <v>5</v>
      </c>
      <c r="H19" s="185">
        <v>6</v>
      </c>
      <c r="I19" s="185">
        <v>7</v>
      </c>
      <c r="J19" s="185">
        <v>8</v>
      </c>
      <c r="K19" s="185">
        <v>9</v>
      </c>
      <c r="L19" s="185">
        <v>10</v>
      </c>
      <c r="M19" s="185">
        <v>11</v>
      </c>
      <c r="N19" s="185">
        <v>12</v>
      </c>
      <c r="O19" s="185"/>
      <c r="Q19" s="138"/>
    </row>
    <row r="20" spans="1:39" ht="15.75">
      <c r="B20" s="294" t="s">
        <v>67</v>
      </c>
      <c r="C20" s="304">
        <f t="shared" ref="C20:N20" si="3">SUM(C57:C69)</f>
        <v>10.229260999999997</v>
      </c>
      <c r="D20" s="304">
        <f t="shared" si="3"/>
        <v>10.229260999999997</v>
      </c>
      <c r="E20" s="304">
        <f t="shared" si="3"/>
        <v>10.229260999999997</v>
      </c>
      <c r="F20" s="304">
        <f t="shared" si="3"/>
        <v>10.229260999999997</v>
      </c>
      <c r="G20" s="304">
        <f t="shared" si="3"/>
        <v>10.229260999999994</v>
      </c>
      <c r="H20" s="304">
        <f t="shared" si="3"/>
        <v>10.229260999999996</v>
      </c>
      <c r="I20" s="304">
        <f t="shared" si="3"/>
        <v>10.229260999999994</v>
      </c>
      <c r="J20" s="304">
        <f t="shared" si="3"/>
        <v>10.229260999999996</v>
      </c>
      <c r="K20" s="304">
        <f t="shared" si="3"/>
        <v>10.22926099999999</v>
      </c>
      <c r="L20" s="304">
        <f t="shared" si="3"/>
        <v>10.229260999999994</v>
      </c>
      <c r="M20" s="304">
        <f t="shared" si="3"/>
        <v>10.229260999999994</v>
      </c>
      <c r="N20" s="305">
        <f t="shared" si="3"/>
        <v>10.229260999999992</v>
      </c>
      <c r="O20" s="271"/>
      <c r="Q20" s="138"/>
    </row>
    <row r="21" spans="1:39" ht="15.75">
      <c r="A21" s="272" t="s">
        <v>160</v>
      </c>
      <c r="B21" s="295"/>
      <c r="C21" s="296"/>
      <c r="D21" s="296"/>
      <c r="E21" s="296"/>
      <c r="F21" s="296"/>
      <c r="G21" s="296"/>
      <c r="H21" s="296"/>
      <c r="I21" s="296"/>
      <c r="J21" s="296"/>
      <c r="K21" s="296"/>
      <c r="L21" s="296"/>
      <c r="M21" s="296"/>
      <c r="N21" s="297"/>
      <c r="O21" s="271"/>
      <c r="Q21" s="138"/>
    </row>
    <row r="22" spans="1:39" ht="15.75">
      <c r="A22" s="182"/>
      <c r="B22" s="298" t="s">
        <v>172</v>
      </c>
      <c r="C22" s="298"/>
      <c r="D22" s="298"/>
      <c r="E22" s="298"/>
      <c r="F22" s="298"/>
      <c r="G22" s="298"/>
      <c r="H22" s="298"/>
      <c r="I22" s="298"/>
      <c r="J22" s="298"/>
      <c r="K22" s="298"/>
      <c r="L22" s="298"/>
      <c r="M22" s="298"/>
      <c r="N22" s="299"/>
      <c r="O22" s="271"/>
      <c r="Q22" s="138"/>
    </row>
    <row r="23" spans="1:39" s="217" customFormat="1" ht="16.5" thickBot="1">
      <c r="A23" s="273" t="s">
        <v>173</v>
      </c>
      <c r="B23" s="307">
        <f t="shared" ref="B23:M23" si="4">B19</f>
        <v>0</v>
      </c>
      <c r="C23" s="307">
        <f t="shared" si="4"/>
        <v>1</v>
      </c>
      <c r="D23" s="307">
        <f t="shared" si="4"/>
        <v>2</v>
      </c>
      <c r="E23" s="307">
        <f t="shared" si="4"/>
        <v>3</v>
      </c>
      <c r="F23" s="307">
        <f t="shared" si="4"/>
        <v>4</v>
      </c>
      <c r="G23" s="307">
        <f t="shared" si="4"/>
        <v>5</v>
      </c>
      <c r="H23" s="307">
        <f t="shared" si="4"/>
        <v>6</v>
      </c>
      <c r="I23" s="307">
        <f t="shared" si="4"/>
        <v>7</v>
      </c>
      <c r="J23" s="307">
        <f t="shared" si="4"/>
        <v>8</v>
      </c>
      <c r="K23" s="307">
        <f t="shared" si="4"/>
        <v>9</v>
      </c>
      <c r="L23" s="307">
        <f t="shared" si="4"/>
        <v>10</v>
      </c>
      <c r="M23" s="307">
        <f t="shared" si="4"/>
        <v>11</v>
      </c>
      <c r="N23" s="300" t="s">
        <v>174</v>
      </c>
      <c r="O23" s="274"/>
      <c r="P23" s="275"/>
      <c r="Q23" s="275"/>
    </row>
    <row r="24" spans="1:39" ht="15.75">
      <c r="A24" s="193" t="s">
        <v>10</v>
      </c>
      <c r="B24" s="301"/>
      <c r="C24" s="298"/>
      <c r="D24" s="298"/>
      <c r="E24" s="298"/>
      <c r="F24" s="298"/>
      <c r="G24" s="298"/>
      <c r="H24" s="298"/>
      <c r="I24" s="298"/>
      <c r="J24" s="298"/>
      <c r="K24" s="298"/>
      <c r="L24" s="298"/>
      <c r="M24" s="298"/>
      <c r="N24" s="299"/>
      <c r="O24" s="185"/>
      <c r="P24" s="88" t="s">
        <v>99</v>
      </c>
      <c r="Q24" s="89"/>
      <c r="R24" s="89"/>
      <c r="S24" s="89"/>
      <c r="T24" s="89"/>
      <c r="U24" s="89"/>
      <c r="V24" s="89"/>
      <c r="W24" s="89"/>
      <c r="X24" s="89"/>
      <c r="Y24" s="89"/>
      <c r="Z24" s="89"/>
      <c r="AA24" s="11"/>
    </row>
    <row r="25" spans="1:39" ht="15.75">
      <c r="A25" s="193">
        <v>0</v>
      </c>
      <c r="B25" s="298">
        <f>B10</f>
        <v>10.229260999999999</v>
      </c>
      <c r="C25" s="298">
        <f t="shared" ref="C25:N25" si="5">(1+$D$9)/(1+$D$6)*B25</f>
        <v>11.428076410671466</v>
      </c>
      <c r="D25" s="298">
        <f t="shared" si="5"/>
        <v>12.767386661474921</v>
      </c>
      <c r="E25" s="298">
        <f t="shared" si="5"/>
        <v>14.26365700630017</v>
      </c>
      <c r="F25" s="298">
        <f t="shared" si="5"/>
        <v>15.935282339907815</v>
      </c>
      <c r="G25" s="298">
        <f t="shared" si="5"/>
        <v>17.802813341656851</v>
      </c>
      <c r="H25" s="298">
        <f t="shared" si="5"/>
        <v>19.889209122083788</v>
      </c>
      <c r="I25" s="298">
        <f t="shared" si="5"/>
        <v>22.220119478327661</v>
      </c>
      <c r="J25" s="298">
        <f t="shared" si="5"/>
        <v>24.824200228401438</v>
      </c>
      <c r="K25" s="298">
        <f t="shared" si="5"/>
        <v>27.733465500976045</v>
      </c>
      <c r="L25" s="298">
        <f t="shared" si="5"/>
        <v>30.983681311668093</v>
      </c>
      <c r="M25" s="298">
        <f t="shared" si="5"/>
        <v>34.614805264391677</v>
      </c>
      <c r="N25" s="299">
        <f t="shared" si="5"/>
        <v>38.671477783388362</v>
      </c>
      <c r="O25" s="196"/>
      <c r="P25" s="135" t="s">
        <v>103</v>
      </c>
      <c r="Q25" s="123"/>
      <c r="R25" s="123"/>
      <c r="S25" s="123"/>
      <c r="T25" s="123"/>
      <c r="U25" s="123"/>
      <c r="V25" s="123"/>
      <c r="W25" s="123"/>
      <c r="X25" s="123"/>
      <c r="Y25" s="123"/>
      <c r="Z25" s="123"/>
      <c r="AA25" s="132"/>
    </row>
    <row r="26" spans="1:39" ht="15.75">
      <c r="A26" s="193">
        <f t="shared" ref="A26:A37" si="6">1+A25</f>
        <v>1</v>
      </c>
      <c r="B26" s="298"/>
      <c r="C26" s="298">
        <f t="shared" ref="C26:N26" si="7">1/(1+$D$9)/(1+$D$6)*B25</f>
        <v>9.0203891610861042</v>
      </c>
      <c r="D26" s="298">
        <f t="shared" si="7"/>
        <v>10.077531171302079</v>
      </c>
      <c r="E26" s="298">
        <f t="shared" si="7"/>
        <v>11.258564646709443</v>
      </c>
      <c r="F26" s="298">
        <f t="shared" si="7"/>
        <v>12.578009013268888</v>
      </c>
      <c r="G26" s="298">
        <f t="shared" si="7"/>
        <v>14.052085297046508</v>
      </c>
      <c r="H26" s="298">
        <f t="shared" si="7"/>
        <v>15.698915542767024</v>
      </c>
      <c r="I26" s="298">
        <f t="shared" si="7"/>
        <v>17.538745603169133</v>
      </c>
      <c r="J26" s="298">
        <f t="shared" si="7"/>
        <v>19.594194038097676</v>
      </c>
      <c r="K26" s="298">
        <f t="shared" si="7"/>
        <v>21.890530183256008</v>
      </c>
      <c r="L26" s="298">
        <f t="shared" si="7"/>
        <v>24.455984807148798</v>
      </c>
      <c r="M26" s="298">
        <f t="shared" si="7"/>
        <v>27.322097175379234</v>
      </c>
      <c r="N26" s="299">
        <f t="shared" si="7"/>
        <v>30.524102789050442</v>
      </c>
      <c r="O26" s="196"/>
      <c r="P26" s="135" t="s">
        <v>181</v>
      </c>
      <c r="Q26" s="123"/>
      <c r="R26" s="123"/>
      <c r="S26" s="123"/>
      <c r="T26" s="123"/>
      <c r="U26" s="123"/>
      <c r="V26" s="123"/>
      <c r="W26" s="123"/>
      <c r="X26" s="123"/>
      <c r="Y26" s="123"/>
      <c r="Z26" s="123"/>
      <c r="AA26" s="132"/>
    </row>
    <row r="27" spans="1:39" ht="15.75">
      <c r="A27" s="193">
        <f t="shared" si="6"/>
        <v>2</v>
      </c>
      <c r="B27" s="298"/>
      <c r="C27" s="298"/>
      <c r="D27" s="298">
        <f t="shared" ref="D27:N27" si="8">1/(1+$D$9)/(1+$D$6)*C26</f>
        <v>7.9543791694668533</v>
      </c>
      <c r="E27" s="298">
        <f t="shared" si="8"/>
        <v>8.8865904338662034</v>
      </c>
      <c r="F27" s="298">
        <f t="shared" si="8"/>
        <v>9.9280519392911248</v>
      </c>
      <c r="G27" s="298">
        <f t="shared" si="8"/>
        <v>11.091567237489981</v>
      </c>
      <c r="H27" s="298">
        <f t="shared" si="8"/>
        <v>12.391440388913308</v>
      </c>
      <c r="I27" s="298">
        <f t="shared" si="8"/>
        <v>13.843651814415708</v>
      </c>
      <c r="J27" s="298">
        <f t="shared" si="8"/>
        <v>15.466054755849266</v>
      </c>
      <c r="K27" s="298">
        <f t="shared" si="8"/>
        <v>17.278594760801806</v>
      </c>
      <c r="L27" s="298">
        <f t="shared" si="8"/>
        <v>19.303554889788295</v>
      </c>
      <c r="M27" s="298">
        <f t="shared" si="8"/>
        <v>21.565829660431135</v>
      </c>
      <c r="N27" s="299">
        <f t="shared" si="8"/>
        <v>24.093231096452826</v>
      </c>
      <c r="O27" s="196"/>
      <c r="P27" s="12" t="s">
        <v>100</v>
      </c>
      <c r="Q27" s="134"/>
      <c r="R27" s="123"/>
      <c r="S27" s="123"/>
      <c r="T27" s="123"/>
      <c r="U27" s="123"/>
      <c r="V27" s="123"/>
      <c r="W27" s="123"/>
      <c r="X27" s="123"/>
      <c r="Y27" s="123"/>
      <c r="Z27" s="123"/>
      <c r="AA27" s="132"/>
    </row>
    <row r="28" spans="1:39" ht="15.75">
      <c r="A28" s="193">
        <f t="shared" si="6"/>
        <v>3</v>
      </c>
      <c r="B28" s="298"/>
      <c r="C28" s="298"/>
      <c r="D28" s="298"/>
      <c r="E28" s="298">
        <f t="shared" ref="E28:N28" si="9">1/(1+$D$9)/(1+$D$6)*D27</f>
        <v>7.0143479224381791</v>
      </c>
      <c r="F28" s="298">
        <f t="shared" si="9"/>
        <v>7.8363924851128699</v>
      </c>
      <c r="G28" s="298">
        <f t="shared" si="9"/>
        <v>8.7547763327068822</v>
      </c>
      <c r="H28" s="298">
        <f t="shared" si="9"/>
        <v>9.7807899210424267</v>
      </c>
      <c r="I28" s="298">
        <f t="shared" si="9"/>
        <v>10.927046887785753</v>
      </c>
      <c r="J28" s="298">
        <f t="shared" si="9"/>
        <v>12.207639122377016</v>
      </c>
      <c r="K28" s="298">
        <f t="shared" si="9"/>
        <v>13.638310009337616</v>
      </c>
      <c r="L28" s="298">
        <f t="shared" si="9"/>
        <v>15.236647974778995</v>
      </c>
      <c r="M28" s="298">
        <f t="shared" si="9"/>
        <v>17.022302715540938</v>
      </c>
      <c r="N28" s="299">
        <f t="shared" si="9"/>
        <v>19.017226769243862</v>
      </c>
      <c r="O28" s="196"/>
      <c r="P28" s="12" t="s">
        <v>101</v>
      </c>
      <c r="Q28" s="156"/>
      <c r="R28" s="156"/>
      <c r="S28" s="156"/>
      <c r="T28" s="156"/>
      <c r="U28" s="156"/>
      <c r="V28" s="156"/>
      <c r="W28" s="156"/>
      <c r="X28" s="310">
        <f>N20</f>
        <v>10.229260999999992</v>
      </c>
      <c r="Y28" s="156"/>
      <c r="Z28" s="156"/>
      <c r="AA28" s="132"/>
    </row>
    <row r="29" spans="1:39" ht="15.75">
      <c r="A29" s="193">
        <f t="shared" si="6"/>
        <v>4</v>
      </c>
      <c r="B29" s="298"/>
      <c r="C29" s="298"/>
      <c r="D29" s="298"/>
      <c r="E29" s="298"/>
      <c r="F29" s="298">
        <f t="shared" ref="F29:N29" si="10">1/(1+$D$9)/(1+$D$6)*E28</f>
        <v>6.1854075256900947</v>
      </c>
      <c r="G29" s="298">
        <f t="shared" si="10"/>
        <v>6.9103046480805146</v>
      </c>
      <c r="H29" s="298">
        <f t="shared" si="10"/>
        <v>7.7201558880238093</v>
      </c>
      <c r="I29" s="298">
        <f t="shared" si="10"/>
        <v>8.6249174198049428</v>
      </c>
      <c r="J29" s="298">
        <f t="shared" si="10"/>
        <v>9.6357122287975887</v>
      </c>
      <c r="K29" s="298">
        <f t="shared" si="10"/>
        <v>10.764966855566625</v>
      </c>
      <c r="L29" s="298">
        <f t="shared" si="10"/>
        <v>12.026564165657827</v>
      </c>
      <c r="M29" s="298">
        <f t="shared" si="10"/>
        <v>13.436014023200796</v>
      </c>
      <c r="N29" s="299">
        <f t="shared" si="10"/>
        <v>15.01064396655751</v>
      </c>
      <c r="O29" s="196"/>
      <c r="P29" s="12" t="s">
        <v>102</v>
      </c>
      <c r="Q29" s="123"/>
      <c r="R29" s="123"/>
      <c r="S29" s="123"/>
      <c r="T29" s="310">
        <f>X28/((1+D5)/(1+D6))^12</f>
        <v>10.229260999999992</v>
      </c>
      <c r="U29" s="123"/>
      <c r="V29" s="123"/>
      <c r="W29" s="123"/>
      <c r="X29" s="123"/>
      <c r="Y29" s="123"/>
      <c r="Z29" s="123"/>
      <c r="AA29" s="132"/>
    </row>
    <row r="30" spans="1:39" ht="16.5" thickBot="1">
      <c r="A30" s="193">
        <f t="shared" si="6"/>
        <v>5</v>
      </c>
      <c r="B30" s="298"/>
      <c r="C30" s="298"/>
      <c r="D30" s="298"/>
      <c r="E30" s="298"/>
      <c r="F30" s="298"/>
      <c r="G30" s="298">
        <f t="shared" ref="G30:N30" si="11">1/(1+$D$9)/(1+$D$6)*F29</f>
        <v>5.4544295039138557</v>
      </c>
      <c r="H30" s="298">
        <f t="shared" si="11"/>
        <v>6.0936598594315265</v>
      </c>
      <c r="I30" s="298">
        <f t="shared" si="11"/>
        <v>6.8078046394773812</v>
      </c>
      <c r="J30" s="298">
        <f t="shared" si="11"/>
        <v>7.6056434192920914</v>
      </c>
      <c r="K30" s="298">
        <f t="shared" si="11"/>
        <v>8.496984694005814</v>
      </c>
      <c r="L30" s="298">
        <f t="shared" si="11"/>
        <v>9.4927864626197671</v>
      </c>
      <c r="M30" s="298">
        <f t="shared" si="11"/>
        <v>10.605290943794124</v>
      </c>
      <c r="N30" s="299">
        <f t="shared" si="11"/>
        <v>11.848175079615366</v>
      </c>
      <c r="O30" s="196"/>
      <c r="P30" s="13" t="s">
        <v>104</v>
      </c>
      <c r="Q30" s="264"/>
      <c r="R30" s="264"/>
      <c r="S30" s="264"/>
      <c r="T30" s="264"/>
      <c r="U30" s="264"/>
      <c r="V30" s="264"/>
      <c r="W30" s="264"/>
      <c r="X30" s="264"/>
      <c r="Y30" s="264"/>
      <c r="Z30" s="264"/>
      <c r="AA30" s="169"/>
    </row>
    <row r="31" spans="1:39" ht="15.75">
      <c r="A31" s="193">
        <f t="shared" si="6"/>
        <v>6</v>
      </c>
      <c r="B31" s="298"/>
      <c r="C31" s="298"/>
      <c r="D31" s="298"/>
      <c r="E31" s="298"/>
      <c r="F31" s="298"/>
      <c r="G31" s="298"/>
      <c r="H31" s="298">
        <f t="shared" ref="H31:N31" si="12">1/(1+$D$9)/(1+$D$6)*G30</f>
        <v>4.8098368764872461</v>
      </c>
      <c r="I31" s="298">
        <f t="shared" si="12"/>
        <v>5.373524377505043</v>
      </c>
      <c r="J31" s="298">
        <f t="shared" si="12"/>
        <v>6.0032730791338169</v>
      </c>
      <c r="K31" s="298">
        <f t="shared" si="12"/>
        <v>6.7068250054884944</v>
      </c>
      <c r="L31" s="298">
        <f t="shared" si="12"/>
        <v>7.4928295050565801</v>
      </c>
      <c r="M31" s="298">
        <f t="shared" si="12"/>
        <v>8.3709495843267909</v>
      </c>
      <c r="N31" s="299">
        <f t="shared" si="12"/>
        <v>9.3519807031578459</v>
      </c>
      <c r="O31" s="196"/>
      <c r="P31" s="213"/>
    </row>
    <row r="32" spans="1:39" ht="15.75">
      <c r="A32" s="193">
        <f t="shared" si="6"/>
        <v>7</v>
      </c>
      <c r="B32" s="298"/>
      <c r="C32" s="298"/>
      <c r="D32" s="298"/>
      <c r="E32" s="298"/>
      <c r="F32" s="298"/>
      <c r="G32" s="298"/>
      <c r="H32" s="298"/>
      <c r="I32" s="298">
        <f t="shared" ref="I32:N32" si="13">1/(1+$D$9)/(1+$D$6)*H31</f>
        <v>4.2414208052036013</v>
      </c>
      <c r="J32" s="298">
        <f t="shared" si="13"/>
        <v>4.7384929421273387</v>
      </c>
      <c r="K32" s="298">
        <f t="shared" si="13"/>
        <v>5.2938193105111591</v>
      </c>
      <c r="L32" s="298">
        <f t="shared" si="13"/>
        <v>5.9142269988819001</v>
      </c>
      <c r="M32" s="298">
        <f t="shared" si="13"/>
        <v>6.6073431945160586</v>
      </c>
      <c r="N32" s="299">
        <f t="shared" si="13"/>
        <v>7.3816889507912267</v>
      </c>
      <c r="O32" s="196"/>
      <c r="P32" s="213"/>
    </row>
    <row r="33" spans="1:17" ht="15.75">
      <c r="A33" s="193">
        <f t="shared" si="6"/>
        <v>8</v>
      </c>
      <c r="B33" s="298"/>
      <c r="C33" s="298"/>
      <c r="D33" s="298"/>
      <c r="E33" s="298"/>
      <c r="F33" s="298"/>
      <c r="G33" s="298"/>
      <c r="H33" s="298"/>
      <c r="I33" s="298"/>
      <c r="J33" s="298">
        <f>1/(1+$D$9)/(1+$D$6)*I32</f>
        <v>3.7401789101738299</v>
      </c>
      <c r="K33" s="298">
        <f>1/(1+$D$9)/(1+$D$6)*J32</f>
        <v>4.1785081419907506</v>
      </c>
      <c r="L33" s="298">
        <f>1/(1+$D$9)/(1+$D$6)*K32</f>
        <v>4.6682072467681852</v>
      </c>
      <c r="M33" s="298">
        <f>1/(1+$D$9)/(1+$D$6)*L32</f>
        <v>5.2152965025447191</v>
      </c>
      <c r="N33" s="299">
        <f>1/(1+$D$9)/(1+$D$6)*M32</f>
        <v>5.8265017321768102</v>
      </c>
      <c r="O33" s="196"/>
      <c r="P33" s="213"/>
    </row>
    <row r="34" spans="1:17" ht="15.75">
      <c r="A34" s="193">
        <f t="shared" si="6"/>
        <v>9</v>
      </c>
      <c r="B34" s="298"/>
      <c r="C34" s="298"/>
      <c r="D34" s="298"/>
      <c r="E34" s="298"/>
      <c r="F34" s="298"/>
      <c r="G34" s="298"/>
      <c r="H34" s="298"/>
      <c r="I34" s="298"/>
      <c r="J34" s="298"/>
      <c r="K34" s="298">
        <f>1/(1+$D$9)/(1+$D$6)*J33</f>
        <v>3.2981726932038251</v>
      </c>
      <c r="L34" s="298">
        <f>1/(1+$D$9)/(1+$D$6)*K33</f>
        <v>3.6847011288032836</v>
      </c>
      <c r="M34" s="298">
        <f>1/(1+$D$9)/(1+$D$6)*L33</f>
        <v>4.1165286573928794</v>
      </c>
      <c r="N34" s="299">
        <f>1/(1+$D$9)/(1+$D$6)*M33</f>
        <v>4.5989640936334162</v>
      </c>
      <c r="O34" s="196"/>
      <c r="P34" s="213"/>
    </row>
    <row r="35" spans="1:17" ht="15.75">
      <c r="A35" s="193">
        <f t="shared" si="6"/>
        <v>10</v>
      </c>
      <c r="B35" s="298"/>
      <c r="C35" s="298"/>
      <c r="D35" s="298"/>
      <c r="E35" s="298"/>
      <c r="F35" s="298"/>
      <c r="G35" s="298"/>
      <c r="H35" s="298"/>
      <c r="I35" s="298"/>
      <c r="J35" s="298"/>
      <c r="K35" s="298"/>
      <c r="L35" s="298">
        <f>1/(1+$D$9)/(1+$D$6)*K34</f>
        <v>2.908401810567347</v>
      </c>
      <c r="M35" s="298">
        <f>1/(1+$D$9)/(1+$D$6)*L34</f>
        <v>3.2492511554939183</v>
      </c>
      <c r="N35" s="299">
        <f>1/(1+$D$9)/(1+$D$6)*M34</f>
        <v>3.6300462450266018</v>
      </c>
      <c r="O35" s="196"/>
      <c r="P35" s="213"/>
    </row>
    <row r="36" spans="1:17" ht="15.75">
      <c r="A36" s="193">
        <f t="shared" si="6"/>
        <v>11</v>
      </c>
      <c r="B36" s="298"/>
      <c r="C36" s="298"/>
      <c r="D36" s="298"/>
      <c r="E36" s="298"/>
      <c r="F36" s="298"/>
      <c r="G36" s="298"/>
      <c r="H36" s="298"/>
      <c r="I36" s="298"/>
      <c r="J36" s="298"/>
      <c r="K36" s="298"/>
      <c r="L36" s="298"/>
      <c r="M36" s="298">
        <f>1/(1+$D$9)/(1+$D$6)*L35</f>
        <v>2.564693203949425</v>
      </c>
      <c r="N36" s="299">
        <f>1/(1+$D$9)/(1+$D$6)*M35</f>
        <v>2.8652617138876249</v>
      </c>
      <c r="O36" s="196"/>
      <c r="P36" s="213"/>
    </row>
    <row r="37" spans="1:17" ht="15.75">
      <c r="A37" s="204">
        <f t="shared" si="6"/>
        <v>12</v>
      </c>
      <c r="B37" s="302"/>
      <c r="C37" s="302"/>
      <c r="D37" s="302"/>
      <c r="E37" s="302"/>
      <c r="F37" s="302"/>
      <c r="G37" s="302"/>
      <c r="H37" s="302"/>
      <c r="I37" s="302"/>
      <c r="J37" s="302"/>
      <c r="K37" s="302"/>
      <c r="L37" s="302"/>
      <c r="M37" s="302"/>
      <c r="N37" s="303">
        <f>1/(1+$D$9)/(1+$D$6)*M36</f>
        <v>2.2616033336539743</v>
      </c>
      <c r="O37" s="196"/>
      <c r="P37" s="213"/>
    </row>
    <row r="38" spans="1:17" ht="15.75">
      <c r="A38" s="209"/>
      <c r="B38" s="276"/>
      <c r="C38" s="276"/>
      <c r="D38" s="235"/>
      <c r="P38" s="213"/>
      <c r="Q38" s="203"/>
    </row>
    <row r="39" spans="1:17" ht="15.75">
      <c r="B39" s="277" t="s">
        <v>57</v>
      </c>
      <c r="C39" s="185"/>
      <c r="D39" s="185"/>
      <c r="E39" s="185"/>
      <c r="F39" s="185"/>
      <c r="G39" s="185"/>
      <c r="H39" s="185"/>
      <c r="I39" s="185"/>
      <c r="J39" s="185"/>
      <c r="K39" s="185"/>
      <c r="L39" s="185"/>
      <c r="M39" s="185"/>
      <c r="N39" s="185"/>
      <c r="O39" s="185"/>
      <c r="P39" s="213"/>
      <c r="Q39" s="203"/>
    </row>
    <row r="40" spans="1:17" ht="15.75">
      <c r="B40" s="185" t="s">
        <v>11</v>
      </c>
      <c r="C40" s="185"/>
      <c r="D40" s="185"/>
      <c r="E40" s="185"/>
      <c r="F40" s="185"/>
      <c r="G40" s="185"/>
      <c r="H40" s="185"/>
      <c r="I40" s="185"/>
      <c r="J40" s="185"/>
      <c r="K40" s="185"/>
      <c r="L40" s="185"/>
      <c r="M40" s="185"/>
      <c r="N40" s="217" t="s">
        <v>12</v>
      </c>
      <c r="O40" s="217"/>
      <c r="P40" s="186"/>
      <c r="Q40" s="203"/>
    </row>
    <row r="41" spans="1:17" ht="15.75">
      <c r="A41" s="209" t="s">
        <v>10</v>
      </c>
      <c r="B41" s="278">
        <v>0</v>
      </c>
      <c r="C41" s="279">
        <v>1</v>
      </c>
      <c r="D41" s="279">
        <v>2</v>
      </c>
      <c r="E41" s="279">
        <v>3</v>
      </c>
      <c r="F41" s="279">
        <v>4</v>
      </c>
      <c r="G41" s="279">
        <v>5</v>
      </c>
      <c r="H41" s="279">
        <v>6</v>
      </c>
      <c r="I41" s="279">
        <v>7</v>
      </c>
      <c r="J41" s="279">
        <v>8</v>
      </c>
      <c r="K41" s="279">
        <v>9</v>
      </c>
      <c r="L41" s="279">
        <v>10</v>
      </c>
      <c r="M41" s="279">
        <v>11</v>
      </c>
      <c r="N41" s="279">
        <v>12</v>
      </c>
      <c r="O41" s="195"/>
      <c r="P41" s="280"/>
    </row>
    <row r="42" spans="1:17" ht="15.75">
      <c r="A42" s="209">
        <v>0</v>
      </c>
      <c r="B42" s="220">
        <f t="shared" ref="B42:N42" si="14">(FACT(B$19)/(FACT(B$19-$A42)*FACT($A42)))*$D$11^(B$19-$A42)*(1-$D$11)^($A42)</f>
        <v>1</v>
      </c>
      <c r="C42" s="220">
        <f t="shared" si="14"/>
        <v>0.5020884000287329</v>
      </c>
      <c r="D42" s="220">
        <f t="shared" si="14"/>
        <v>0.25209276144341292</v>
      </c>
      <c r="E42" s="220">
        <f t="shared" si="14"/>
        <v>0.12657285125194823</v>
      </c>
      <c r="F42" s="220">
        <f t="shared" si="14"/>
        <v>6.3550760372165491E-2</v>
      </c>
      <c r="G42" s="220">
        <f t="shared" si="14"/>
        <v>3.1908099595869974E-2</v>
      </c>
      <c r="H42" s="220">
        <f t="shared" si="14"/>
        <v>1.6020686674047813E-2</v>
      </c>
      <c r="I42" s="220">
        <f t="shared" si="14"/>
        <v>8.0438009395343082E-3</v>
      </c>
      <c r="J42" s="220">
        <f t="shared" si="14"/>
        <v>4.0386991438803995E-3</v>
      </c>
      <c r="K42" s="220">
        <f t="shared" si="14"/>
        <v>2.0277839913483233E-3</v>
      </c>
      <c r="L42" s="220">
        <f t="shared" si="14"/>
        <v>1.0181268198199576E-3</v>
      </c>
      <c r="M42" s="220">
        <f t="shared" si="14"/>
        <v>5.1118966598974447E-4</v>
      </c>
      <c r="N42" s="220">
        <f t="shared" si="14"/>
        <v>2.566624015080132E-4</v>
      </c>
      <c r="O42" s="220"/>
      <c r="P42" s="224"/>
    </row>
    <row r="43" spans="1:17" ht="15.75">
      <c r="A43" s="209">
        <f t="shared" ref="A43:A54" si="15">1+A42</f>
        <v>1</v>
      </c>
      <c r="B43" s="220"/>
      <c r="C43" s="220">
        <f t="shared" ref="C43:N43" si="16">(FACT(C$19)/(FACT(C$19-$A43)*FACT($A43)))*$D$11^(C$19-$A43)*(1-$D$11)^($A43)</f>
        <v>0.4979115999712671</v>
      </c>
      <c r="D43" s="220">
        <f t="shared" si="16"/>
        <v>0.49999127717063996</v>
      </c>
      <c r="E43" s="220">
        <f t="shared" si="16"/>
        <v>0.37655973057439401</v>
      </c>
      <c r="F43" s="220">
        <f t="shared" si="16"/>
        <v>0.25208836351913094</v>
      </c>
      <c r="G43" s="220">
        <f t="shared" si="16"/>
        <v>0.15821330388147758</v>
      </c>
      <c r="H43" s="220">
        <f t="shared" si="16"/>
        <v>9.5324477530932955E-2</v>
      </c>
      <c r="I43" s="220">
        <f t="shared" si="16"/>
        <v>5.5838200141594532E-2</v>
      </c>
      <c r="J43" s="220">
        <f t="shared" si="16"/>
        <v>3.204081436523127E-2</v>
      </c>
      <c r="K43" s="220">
        <f t="shared" si="16"/>
        <v>1.8098236372788689E-2</v>
      </c>
      <c r="L43" s="220">
        <f t="shared" si="16"/>
        <v>1.0096571715283657E-2</v>
      </c>
      <c r="M43" s="220">
        <f t="shared" si="16"/>
        <v>5.5763086921323439E-3</v>
      </c>
      <c r="N43" s="220">
        <f t="shared" si="16"/>
        <v>3.0543271737807757E-3</v>
      </c>
      <c r="O43" s="220"/>
      <c r="P43" s="224"/>
    </row>
    <row r="44" spans="1:17" ht="15.75">
      <c r="A44" s="209">
        <f t="shared" si="15"/>
        <v>2</v>
      </c>
      <c r="B44" s="220"/>
      <c r="C44" s="220"/>
      <c r="D44" s="220">
        <f t="shared" ref="D44:N44" si="17">(FACT(D$19)/(FACT(D$19-$A44)*FACT($A44)))*$D$11^(D$19-$A44)*(1-$D$11)^($A44)</f>
        <v>0.24791596138594713</v>
      </c>
      <c r="E44" s="220">
        <f t="shared" si="17"/>
        <v>0.37342718518156598</v>
      </c>
      <c r="F44" s="220">
        <f t="shared" si="17"/>
        <v>0.37498691587009159</v>
      </c>
      <c r="G44" s="220">
        <f t="shared" si="17"/>
        <v>0.31379430103487221</v>
      </c>
      <c r="H44" s="220">
        <f t="shared" si="17"/>
        <v>0.23632871781710038</v>
      </c>
      <c r="I44" s="220">
        <f t="shared" si="17"/>
        <v>0.16612107093348177</v>
      </c>
      <c r="J44" s="220">
        <f t="shared" si="17"/>
        <v>0.11120995028806867</v>
      </c>
      <c r="K44" s="220">
        <f t="shared" si="17"/>
        <v>7.1790719152385968E-2</v>
      </c>
      <c r="L44" s="220">
        <f t="shared" si="17"/>
        <v>4.5056609145166987E-2</v>
      </c>
      <c r="M44" s="220">
        <f t="shared" si="17"/>
        <v>2.7649600973398396E-2</v>
      </c>
      <c r="N44" s="220">
        <f t="shared" si="17"/>
        <v>1.6659052696999795E-2</v>
      </c>
      <c r="O44" s="220"/>
      <c r="P44" s="224"/>
    </row>
    <row r="45" spans="1:17" ht="15.75">
      <c r="A45" s="209">
        <f t="shared" si="15"/>
        <v>3</v>
      </c>
      <c r="B45" s="220"/>
      <c r="C45" s="220"/>
      <c r="D45" s="220"/>
      <c r="E45" s="220">
        <f t="shared" ref="E45:N45" si="18">(FACT(E$19)/(FACT(E$19-$A45)*FACT($A45)))*$D$11^(E$19-$A45)*(1-$D$11)^($A45)</f>
        <v>0.12344023299209181</v>
      </c>
      <c r="F45" s="220">
        <f t="shared" si="18"/>
        <v>0.24791163632869354</v>
      </c>
      <c r="G45" s="220">
        <f t="shared" si="18"/>
        <v>0.31118389208194708</v>
      </c>
      <c r="H45" s="220">
        <f t="shared" si="18"/>
        <v>0.31248364498027736</v>
      </c>
      <c r="I45" s="220">
        <f t="shared" si="18"/>
        <v>0.27456522335076461</v>
      </c>
      <c r="J45" s="220">
        <f t="shared" si="18"/>
        <v>0.22056962191314736</v>
      </c>
      <c r="K45" s="220">
        <f t="shared" si="18"/>
        <v>0.16611817284197206</v>
      </c>
      <c r="L45" s="220">
        <f t="shared" si="18"/>
        <v>0.11915143945417465</v>
      </c>
      <c r="M45" s="220">
        <f t="shared" si="18"/>
        <v>8.2258763945417118E-2</v>
      </c>
      <c r="N45" s="220">
        <f t="shared" si="18"/>
        <v>5.5068228236927599E-2</v>
      </c>
      <c r="O45" s="220"/>
      <c r="P45" s="224"/>
    </row>
    <row r="46" spans="1:17" ht="15.75">
      <c r="A46" s="209">
        <f t="shared" si="15"/>
        <v>4</v>
      </c>
      <c r="B46" s="220"/>
      <c r="C46" s="220"/>
      <c r="D46" s="220"/>
      <c r="E46" s="220"/>
      <c r="F46" s="220">
        <f t="shared" ref="F46:N46" si="19">(FACT(F$19)/(FACT(F$19-$A46)*FACT($A46)))*$D$11^(F$19-$A46)*(1-$D$11)^($A46)</f>
        <v>6.1462323909918425E-2</v>
      </c>
      <c r="G46" s="220">
        <f t="shared" si="19"/>
        <v>0.15429759936989337</v>
      </c>
      <c r="H46" s="220">
        <f t="shared" si="19"/>
        <v>0.23241310438771259</v>
      </c>
      <c r="I46" s="220">
        <f t="shared" si="19"/>
        <v>0.27228115536472075</v>
      </c>
      <c r="J46" s="220">
        <f t="shared" si="19"/>
        <v>0.27341841931009503</v>
      </c>
      <c r="K46" s="220">
        <f t="shared" si="19"/>
        <v>0.24710439004162352</v>
      </c>
      <c r="L46" s="220">
        <f t="shared" si="19"/>
        <v>0.20678041306012448</v>
      </c>
      <c r="M46" s="220">
        <f t="shared" si="19"/>
        <v>0.16314893060814606</v>
      </c>
      <c r="N46" s="220">
        <f t="shared" si="19"/>
        <v>0.12287277830316425</v>
      </c>
      <c r="O46" s="220"/>
      <c r="P46" s="224"/>
    </row>
    <row r="47" spans="1:17" ht="15.75">
      <c r="A47" s="209">
        <f t="shared" si="15"/>
        <v>5</v>
      </c>
      <c r="B47" s="220"/>
      <c r="C47" s="220"/>
      <c r="D47" s="220"/>
      <c r="E47" s="220"/>
      <c r="F47" s="220"/>
      <c r="G47" s="220">
        <f t="shared" ref="G47:N47" si="20">(FACT(G$19)/(FACT(G$19-$A47)*FACT($A47)))*$D$11^(G$19-$A47)*(1-$D$11)^($A47)</f>
        <v>3.0602804035939749E-2</v>
      </c>
      <c r="H47" s="220">
        <f t="shared" si="20"/>
        <v>9.219187748878703E-2</v>
      </c>
      <c r="I47" s="220">
        <f t="shared" si="20"/>
        <v>0.16200965292396513</v>
      </c>
      <c r="J47" s="220">
        <f t="shared" si="20"/>
        <v>0.21691511313547729</v>
      </c>
      <c r="K47" s="220">
        <f t="shared" si="20"/>
        <v>0.2450487647165476</v>
      </c>
      <c r="L47" s="220">
        <f t="shared" si="20"/>
        <v>0.2460722844110976</v>
      </c>
      <c r="M47" s="220">
        <f t="shared" si="20"/>
        <v>0.22650840588086937</v>
      </c>
      <c r="N47" s="220">
        <f t="shared" si="20"/>
        <v>0.19496098817448776</v>
      </c>
      <c r="O47" s="220"/>
      <c r="P47" s="224"/>
    </row>
    <row r="48" spans="1:17" ht="15.75">
      <c r="A48" s="209">
        <f t="shared" si="15"/>
        <v>6</v>
      </c>
      <c r="B48" s="220"/>
      <c r="C48" s="220"/>
      <c r="D48" s="220"/>
      <c r="E48" s="220"/>
      <c r="F48" s="220"/>
      <c r="G48" s="220"/>
      <c r="H48" s="220">
        <f t="shared" ref="H48:N48" si="21">(FACT(H$19)/(FACT(H$19-$A48)*FACT($A48)))*$D$11^(H$19-$A48)*(1-$D$11)^($A48)</f>
        <v>1.5237491121141911E-2</v>
      </c>
      <c r="I48" s="220">
        <f t="shared" si="21"/>
        <v>5.3553972762263161E-2</v>
      </c>
      <c r="J48" s="220">
        <f t="shared" si="21"/>
        <v>0.10755531399754821</v>
      </c>
      <c r="K48" s="220">
        <f t="shared" si="21"/>
        <v>0.16200682655885085</v>
      </c>
      <c r="L48" s="220">
        <f t="shared" si="21"/>
        <v>0.20335437085166466</v>
      </c>
      <c r="M48" s="220">
        <f t="shared" si="21"/>
        <v>0.22462411553947623</v>
      </c>
      <c r="N48" s="220">
        <f t="shared" si="21"/>
        <v>0.22556232555816969</v>
      </c>
      <c r="O48" s="220"/>
      <c r="P48" s="224"/>
    </row>
    <row r="49" spans="1:16" ht="15.75">
      <c r="A49" s="209">
        <f t="shared" si="15"/>
        <v>7</v>
      </c>
      <c r="B49" s="220"/>
      <c r="C49" s="220"/>
      <c r="D49" s="220"/>
      <c r="E49" s="220"/>
      <c r="F49" s="220"/>
      <c r="G49" s="220"/>
      <c r="H49" s="220"/>
      <c r="I49" s="220">
        <f t="shared" ref="I49:N49" si="22">(FACT(I$19)/(FACT(I$19-$A49)*FACT($A49)))*$D$11^(I$19-$A49)*(1-$D$11)^($A49)</f>
        <v>7.5869235836757455E-3</v>
      </c>
      <c r="J49" s="220">
        <f t="shared" si="22"/>
        <v>3.0474450586144123E-2</v>
      </c>
      <c r="K49" s="220">
        <f t="shared" si="22"/>
        <v>6.885390661448304E-2</v>
      </c>
      <c r="L49" s="220">
        <f t="shared" si="22"/>
        <v>0.11523582602597858</v>
      </c>
      <c r="M49" s="220">
        <f t="shared" si="22"/>
        <v>0.15911107166727576</v>
      </c>
      <c r="N49" s="220">
        <f t="shared" si="22"/>
        <v>0.19173077616067088</v>
      </c>
      <c r="O49" s="220"/>
      <c r="P49" s="224"/>
    </row>
    <row r="50" spans="1:16" ht="15.75">
      <c r="A50" s="209">
        <f t="shared" si="15"/>
        <v>8</v>
      </c>
      <c r="B50" s="220"/>
      <c r="C50" s="220"/>
      <c r="D50" s="220"/>
      <c r="E50" s="220"/>
      <c r="F50" s="220"/>
      <c r="G50" s="220"/>
      <c r="H50" s="220"/>
      <c r="I50" s="220"/>
      <c r="J50" s="220">
        <f>(FACT(J$19)/(FACT(J$19-$A50)*FACT($A50)))*$D$11^(J$19-$A50)*(1-$D$11)^($A50)</f>
        <v>3.7776172604077301E-3</v>
      </c>
      <c r="K50" s="220">
        <f>(FACT(K$19)/(FACT(K$19-$A50)*FACT($A50)))*$D$11^(K$19-$A50)*(1-$D$11)^($A50)</f>
        <v>1.7070280255791381E-2</v>
      </c>
      <c r="L50" s="220">
        <f>(FACT(L$19)/(FACT(L$19-$A50)*FACT($A50)))*$D$11^(L$19-$A50)*(1-$D$11)^($A50)</f>
        <v>4.2853948508361828E-2</v>
      </c>
      <c r="M50" s="220">
        <f>(FACT(M$19)/(FACT(M$19-$A50)*FACT($A50)))*$D$11^(M$19-$A50)*(1-$D$11)^($A50)</f>
        <v>7.8893724952082675E-2</v>
      </c>
      <c r="N50" s="220">
        <f>(FACT(N$19)/(FACT(N$19-$A50)*FACT($A50)))*$D$11^(N$19-$A50)*(1-$D$11)^($A50)</f>
        <v>0.11883487240049433</v>
      </c>
      <c r="O50" s="220"/>
      <c r="P50" s="224"/>
    </row>
    <row r="51" spans="1:16" ht="15.75">
      <c r="A51" s="209">
        <f t="shared" si="15"/>
        <v>9</v>
      </c>
      <c r="B51" s="220"/>
      <c r="C51" s="220"/>
      <c r="D51" s="220"/>
      <c r="E51" s="220"/>
      <c r="F51" s="220"/>
      <c r="G51" s="220"/>
      <c r="H51" s="220"/>
      <c r="I51" s="220"/>
      <c r="J51" s="220"/>
      <c r="K51" s="220">
        <f>(FACT(K$19)/(FACT(K$19-$A51)*FACT($A51)))*$D$11^(K$19-$A51)*(1-$D$11)^($A51)</f>
        <v>1.8809194542086876E-3</v>
      </c>
      <c r="L51" s="220">
        <f>(FACT(L$19)/(FACT(L$19-$A51)*FACT($A51)))*$D$11^(L$19-$A51)*(1-$D$11)^($A51)</f>
        <v>9.4438783934655754E-3</v>
      </c>
      <c r="M51" s="220">
        <f>(FACT(M$19)/(FACT(M$19-$A51)*FACT($A51)))*$D$11^(M$19-$A51)*(1-$D$11)^($A51)</f>
        <v>2.6079139859525782E-2</v>
      </c>
      <c r="N51" s="220">
        <f>(FACT(N$19)/(FACT(N$19-$A51)*FACT($A51)))*$D$11^(N$19-$A51)*(1-$D$11)^($A51)</f>
        <v>5.2376134424779411E-2</v>
      </c>
      <c r="O51" s="220"/>
      <c r="P51" s="224"/>
    </row>
    <row r="52" spans="1:16" ht="15.75">
      <c r="A52" s="209">
        <f t="shared" si="15"/>
        <v>10</v>
      </c>
      <c r="B52" s="220"/>
      <c r="C52" s="220"/>
      <c r="D52" s="220"/>
      <c r="E52" s="220"/>
      <c r="F52" s="220"/>
      <c r="G52" s="220"/>
      <c r="H52" s="220"/>
      <c r="I52" s="220"/>
      <c r="J52" s="220"/>
      <c r="K52" s="220"/>
      <c r="L52" s="220">
        <f>(FACT(L$19)/(FACT(L$19-$A52)*FACT($A52)))*$D$11^(L$19-$A52)*(1-$D$11)^($A52)</f>
        <v>9.3653161486213017E-4</v>
      </c>
      <c r="M52" s="220">
        <f>(FACT(M$19)/(FACT(M$19-$A52)*FACT($A52)))*$D$11^(M$19-$A52)*(1-$D$11)^($A52)</f>
        <v>5.1724382609069771E-3</v>
      </c>
      <c r="N52" s="220">
        <f>(FACT(N$19)/(FACT(N$19-$A52)*FACT($A52)))*$D$11^(N$19-$A52)*(1-$D$11)^($A52)</f>
        <v>1.5582127503997113E-2</v>
      </c>
      <c r="O52" s="220"/>
      <c r="P52" s="224"/>
    </row>
    <row r="53" spans="1:16" ht="15.75">
      <c r="A53" s="209">
        <f t="shared" si="15"/>
        <v>11</v>
      </c>
      <c r="B53" s="220"/>
      <c r="C53" s="220"/>
      <c r="D53" s="220"/>
      <c r="E53" s="220"/>
      <c r="F53" s="220"/>
      <c r="G53" s="220"/>
      <c r="H53" s="220"/>
      <c r="I53" s="220"/>
      <c r="J53" s="220"/>
      <c r="K53" s="220"/>
      <c r="L53" s="220"/>
      <c r="M53" s="220">
        <f>(FACT(M$19)/(FACT(M$19-$A53)*FACT($A53)))*$D$11^(M$19-$A53)*(1-$D$11)^($A53)</f>
        <v>4.6630995477967778E-4</v>
      </c>
      <c r="N53" s="220">
        <f>(FACT(N$19)/(FACT(N$19-$A53)*FACT($A53)))*$D$11^(N$19-$A53)*(1-$D$11)^($A53)</f>
        <v>2.8095458293535902E-3</v>
      </c>
      <c r="O53" s="220"/>
      <c r="P53" s="224"/>
    </row>
    <row r="54" spans="1:16" ht="15.75">
      <c r="A54" s="209">
        <f t="shared" si="15"/>
        <v>12</v>
      </c>
      <c r="B54" s="220"/>
      <c r="C54" s="220"/>
      <c r="D54" s="220"/>
      <c r="E54" s="220"/>
      <c r="F54" s="220"/>
      <c r="G54" s="220"/>
      <c r="H54" s="220"/>
      <c r="I54" s="220"/>
      <c r="J54" s="220"/>
      <c r="K54" s="220"/>
      <c r="L54" s="220"/>
      <c r="M54" s="220"/>
      <c r="N54" s="220">
        <f>(FACT(N$19)/(FACT(N$19-$A54)*FACT($A54)))*$D$11^(N$19-$A54)*(1-$D$11)^($A54)</f>
        <v>2.3218113566687856E-4</v>
      </c>
      <c r="O54" s="220"/>
      <c r="P54" s="224"/>
    </row>
    <row r="55" spans="1:16" ht="15.75" thickBot="1"/>
    <row r="56" spans="1:16">
      <c r="B56" s="281" t="s">
        <v>68</v>
      </c>
      <c r="C56" s="140"/>
      <c r="D56" s="140"/>
      <c r="E56" s="140"/>
      <c r="F56" s="140"/>
      <c r="G56" s="140"/>
      <c r="H56" s="140"/>
      <c r="I56" s="140"/>
      <c r="J56" s="140"/>
      <c r="K56" s="140"/>
      <c r="L56" s="140"/>
      <c r="M56" s="140"/>
      <c r="N56" s="282"/>
      <c r="O56" s="138"/>
    </row>
    <row r="57" spans="1:16">
      <c r="B57" s="283">
        <f t="shared" ref="B57:N57" si="23">B42*B25</f>
        <v>10.229260999999999</v>
      </c>
      <c r="C57" s="146">
        <f t="shared" si="23"/>
        <v>5.7379046004401406</v>
      </c>
      <c r="D57" s="146">
        <f t="shared" si="23"/>
        <v>3.2185657599070092</v>
      </c>
      <c r="E57" s="146">
        <f t="shared" si="23"/>
        <v>1.8053917365672405</v>
      </c>
      <c r="F57" s="146">
        <f t="shared" si="23"/>
        <v>1.0126993094462822</v>
      </c>
      <c r="G57" s="146">
        <f t="shared" si="23"/>
        <v>0.56805394119226948</v>
      </c>
      <c r="H57" s="146">
        <f t="shared" si="23"/>
        <v>0.31863878753951796</v>
      </c>
      <c r="I57" s="146">
        <f t="shared" si="23"/>
        <v>0.17873421793633662</v>
      </c>
      <c r="J57" s="146">
        <f t="shared" si="23"/>
        <v>0.10025747620996051</v>
      </c>
      <c r="K57" s="146">
        <f t="shared" si="23"/>
        <v>5.6237477367490234E-2</v>
      </c>
      <c r="L57" s="146">
        <f t="shared" si="23"/>
        <v>3.1545316920163692E-2</v>
      </c>
      <c r="M57" s="146">
        <f t="shared" si="23"/>
        <v>1.769473074140443E-2</v>
      </c>
      <c r="N57" s="284">
        <f t="shared" si="23"/>
        <v>9.9255143577482354E-3</v>
      </c>
      <c r="O57" s="253"/>
    </row>
    <row r="58" spans="1:16">
      <c r="B58" s="283"/>
      <c r="C58" s="146">
        <f t="shared" ref="C58:N58" si="24">C43*C26</f>
        <v>4.4913563995598578</v>
      </c>
      <c r="D58" s="146">
        <f t="shared" si="24"/>
        <v>5.0386776810662619</v>
      </c>
      <c r="E58" s="146">
        <f t="shared" si="24"/>
        <v>4.239522070019305</v>
      </c>
      <c r="F58" s="146">
        <f t="shared" si="24"/>
        <v>3.1707697084838329</v>
      </c>
      <c r="G58" s="146">
        <f t="shared" si="24"/>
        <v>2.2232268412700624</v>
      </c>
      <c r="H58" s="146">
        <f t="shared" si="24"/>
        <v>1.4964909219165092</v>
      </c>
      <c r="I58" s="146">
        <f t="shared" si="24"/>
        <v>0.97933198722226911</v>
      </c>
      <c r="J58" s="146">
        <f t="shared" si="24"/>
        <v>0.62781393381100892</v>
      </c>
      <c r="K58" s="146">
        <f t="shared" si="24"/>
        <v>0.39617998958223255</v>
      </c>
      <c r="L58" s="146">
        <f t="shared" si="24"/>
        <v>0.24692160447326542</v>
      </c>
      <c r="M58" s="146">
        <f t="shared" si="24"/>
        <v>0.15235644796635178</v>
      </c>
      <c r="N58" s="284">
        <f t="shared" si="24"/>
        <v>9.3230596603874324E-2</v>
      </c>
      <c r="O58" s="253"/>
    </row>
    <row r="59" spans="1:16">
      <c r="B59" s="283"/>
      <c r="C59" s="146"/>
      <c r="D59" s="146">
        <f t="shared" ref="D59:N59" si="25">D44*D27</f>
        <v>1.9720175590267266</v>
      </c>
      <c r="E59" s="146">
        <f t="shared" si="25"/>
        <v>3.3184944515800874</v>
      </c>
      <c r="F59" s="146">
        <f t="shared" si="25"/>
        <v>3.7228895773128605</v>
      </c>
      <c r="G59" s="146">
        <f t="shared" si="25"/>
        <v>3.4804705886694571</v>
      </c>
      <c r="H59" s="146">
        <f t="shared" si="25"/>
        <v>2.9284532190189139</v>
      </c>
      <c r="I59" s="146">
        <f t="shared" si="25"/>
        <v>2.2997222650409754</v>
      </c>
      <c r="J59" s="146">
        <f t="shared" si="25"/>
        <v>1.7199791805505449</v>
      </c>
      <c r="K59" s="146">
        <f t="shared" si="25"/>
        <v>1.24044274382061</v>
      </c>
      <c r="L59" s="146">
        <f t="shared" si="25"/>
        <v>0.86975272778146817</v>
      </c>
      <c r="M59" s="146">
        <f t="shared" si="25"/>
        <v>0.59628658477120067</v>
      </c>
      <c r="N59" s="284">
        <f t="shared" si="25"/>
        <v>0.40137040647680178</v>
      </c>
      <c r="O59" s="253"/>
    </row>
    <row r="60" spans="1:16">
      <c r="B60" s="283"/>
      <c r="C60" s="146"/>
      <c r="D60" s="146"/>
      <c r="E60" s="146">
        <f t="shared" ref="E60:N60" si="26">E45*E28</f>
        <v>0.86585274183336391</v>
      </c>
      <c r="F60" s="146">
        <f t="shared" si="26"/>
        <v>1.9427328838982088</v>
      </c>
      <c r="G60" s="146">
        <f t="shared" si="26"/>
        <v>2.7243453735186427</v>
      </c>
      <c r="H60" s="146">
        <f t="shared" si="26"/>
        <v>3.056336885313697</v>
      </c>
      <c r="I60" s="146">
        <f t="shared" si="26"/>
        <v>3.0001870693091726</v>
      </c>
      <c r="J60" s="146">
        <f t="shared" si="26"/>
        <v>2.6926343456748443</v>
      </c>
      <c r="K60" s="146">
        <f t="shared" si="26"/>
        <v>2.2655711394035434</v>
      </c>
      <c r="L60" s="146">
        <f t="shared" si="26"/>
        <v>1.8154685386514522</v>
      </c>
      <c r="M60" s="146">
        <f t="shared" si="26"/>
        <v>1.4002335808851147</v>
      </c>
      <c r="N60" s="284">
        <f t="shared" si="26"/>
        <v>1.0472449841621303</v>
      </c>
      <c r="O60" s="253"/>
    </row>
    <row r="61" spans="1:16">
      <c r="B61" s="283"/>
      <c r="C61" s="146"/>
      <c r="D61" s="146"/>
      <c r="E61" s="146"/>
      <c r="F61" s="146">
        <f t="shared" ref="F61:N61" si="27">F46*F29</f>
        <v>0.38016952085881167</v>
      </c>
      <c r="G61" s="146">
        <f t="shared" si="27"/>
        <v>1.0662434181134393</v>
      </c>
      <c r="H61" s="146">
        <f t="shared" si="27"/>
        <v>1.7942653962926916</v>
      </c>
      <c r="I61" s="146">
        <f t="shared" si="27"/>
        <v>2.348402479989796</v>
      </c>
      <c r="J61" s="146">
        <f t="shared" si="27"/>
        <v>2.6345812065247896</v>
      </c>
      <c r="K61" s="146">
        <f t="shared" si="27"/>
        <v>2.6600705686630848</v>
      </c>
      <c r="L61" s="146">
        <f t="shared" si="27"/>
        <v>2.4868579058688169</v>
      </c>
      <c r="M61" s="146">
        <f t="shared" si="27"/>
        <v>2.192071319521264</v>
      </c>
      <c r="N61" s="284">
        <f t="shared" si="27"/>
        <v>1.8443995282905508</v>
      </c>
      <c r="O61" s="253"/>
    </row>
    <row r="62" spans="1:16">
      <c r="B62" s="283"/>
      <c r="C62" s="146"/>
      <c r="D62" s="146"/>
      <c r="E62" s="146"/>
      <c r="F62" s="146"/>
      <c r="G62" s="146">
        <f t="shared" ref="G62:N62" si="28">G47*G30</f>
        <v>0.16692083723612378</v>
      </c>
      <c r="H62" s="146">
        <f t="shared" si="28"/>
        <v>0.56178594321905051</v>
      </c>
      <c r="I62" s="146">
        <f t="shared" si="28"/>
        <v>1.1029300668158901</v>
      </c>
      <c r="J62" s="146">
        <f t="shared" si="28"/>
        <v>1.6497790027638424</v>
      </c>
      <c r="K62" s="146">
        <f t="shared" si="28"/>
        <v>2.082175603081537</v>
      </c>
      <c r="L62" s="146">
        <f t="shared" si="28"/>
        <v>2.3359116502835886</v>
      </c>
      <c r="M62" s="146">
        <f t="shared" si="28"/>
        <v>2.4021875455816275</v>
      </c>
      <c r="N62" s="284">
        <f t="shared" si="28"/>
        <v>2.309931921586152</v>
      </c>
      <c r="O62" s="253"/>
    </row>
    <row r="63" spans="1:16">
      <c r="B63" s="283"/>
      <c r="C63" s="146"/>
      <c r="D63" s="146"/>
      <c r="E63" s="146"/>
      <c r="F63" s="146"/>
      <c r="G63" s="146"/>
      <c r="H63" s="146">
        <f t="shared" ref="H63:N63" si="29">H48*H31</f>
        <v>7.3289846699615357E-2</v>
      </c>
      <c r="I63" s="146">
        <f t="shared" si="29"/>
        <v>0.28777357815026217</v>
      </c>
      <c r="J63" s="146">
        <f t="shared" si="29"/>
        <v>0.64568392103926575</v>
      </c>
      <c r="K63" s="146">
        <f t="shared" si="29"/>
        <v>1.0865514354247383</v>
      </c>
      <c r="L63" s="146">
        <f t="shared" si="29"/>
        <v>1.5236996298995709</v>
      </c>
      <c r="M63" s="146">
        <f t="shared" si="29"/>
        <v>1.8803171466049515</v>
      </c>
      <c r="N63" s="284">
        <f t="shared" si="29"/>
        <v>2.1094545159794107</v>
      </c>
      <c r="O63" s="253"/>
    </row>
    <row r="64" spans="1:16">
      <c r="B64" s="283"/>
      <c r="C64" s="146"/>
      <c r="D64" s="146"/>
      <c r="E64" s="146"/>
      <c r="F64" s="146"/>
      <c r="G64" s="146"/>
      <c r="H64" s="146"/>
      <c r="I64" s="146">
        <f t="shared" ref="I64:N64" si="30">I49*I32</f>
        <v>3.2179335535292175E-2</v>
      </c>
      <c r="J64" s="146">
        <f t="shared" si="30"/>
        <v>0.14440296901765226</v>
      </c>
      <c r="K64" s="146">
        <f t="shared" si="30"/>
        <v>0.36450014043988233</v>
      </c>
      <c r="L64" s="146">
        <f t="shared" si="30"/>
        <v>0.68153083352130006</v>
      </c>
      <c r="M64" s="146">
        <f t="shared" si="30"/>
        <v>1.0513014565529313</v>
      </c>
      <c r="N64" s="284">
        <f t="shared" si="30"/>
        <v>1.4152969519118501</v>
      </c>
      <c r="O64" s="253"/>
    </row>
    <row r="65" spans="1:16">
      <c r="B65" s="283"/>
      <c r="C65" s="146"/>
      <c r="D65" s="146"/>
      <c r="E65" s="146"/>
      <c r="F65" s="146"/>
      <c r="G65" s="146"/>
      <c r="H65" s="146"/>
      <c r="I65" s="146"/>
      <c r="J65" s="146">
        <f>J50*J33</f>
        <v>1.4128964408085634E-2</v>
      </c>
      <c r="K65" s="146">
        <f>K50*K33</f>
        <v>7.132830503488824E-2</v>
      </c>
      <c r="L65" s="146">
        <f>L50*L33</f>
        <v>0.20005111297936534</v>
      </c>
      <c r="M65" s="146">
        <f>M50*M33</f>
        <v>0.41145416781532179</v>
      </c>
      <c r="N65" s="284">
        <f>N50*N33</f>
        <v>0.69239158988449045</v>
      </c>
      <c r="O65" s="253"/>
    </row>
    <row r="66" spans="1:16">
      <c r="B66" s="283"/>
      <c r="C66" s="146"/>
      <c r="D66" s="146"/>
      <c r="E66" s="146"/>
      <c r="F66" s="146"/>
      <c r="G66" s="146"/>
      <c r="H66" s="146"/>
      <c r="I66" s="146"/>
      <c r="J66" s="146"/>
      <c r="K66" s="146">
        <f>K51*K34</f>
        <v>6.2035971819869359E-3</v>
      </c>
      <c r="L66" s="146">
        <f>L51*L34</f>
        <v>3.4797869376683548E-2</v>
      </c>
      <c r="M66" s="146">
        <f>M51*M34</f>
        <v>0.10735552659189479</v>
      </c>
      <c r="N66" s="284">
        <f>N51*N34</f>
        <v>0.24087596158287761</v>
      </c>
      <c r="O66" s="253"/>
    </row>
    <row r="67" spans="1:16">
      <c r="B67" s="283"/>
      <c r="C67" s="146"/>
      <c r="D67" s="146"/>
      <c r="E67" s="146"/>
      <c r="F67" s="146"/>
      <c r="G67" s="146"/>
      <c r="H67" s="146"/>
      <c r="I67" s="146"/>
      <c r="J67" s="146"/>
      <c r="K67" s="146"/>
      <c r="L67" s="146">
        <f>L52*L35</f>
        <v>2.7238102443185807E-3</v>
      </c>
      <c r="M67" s="146">
        <f>M52*M35</f>
        <v>1.680655099597295E-2</v>
      </c>
      <c r="N67" s="284">
        <f>N52*N35</f>
        <v>5.6563843435410453E-2</v>
      </c>
      <c r="O67" s="253"/>
    </row>
    <row r="68" spans="1:16">
      <c r="B68" s="283"/>
      <c r="C68" s="146"/>
      <c r="D68" s="146"/>
      <c r="E68" s="146"/>
      <c r="F68" s="146"/>
      <c r="G68" s="146"/>
      <c r="H68" s="146"/>
      <c r="I68" s="146"/>
      <c r="J68" s="146"/>
      <c r="K68" s="146"/>
      <c r="L68" s="146"/>
      <c r="M68" s="146">
        <f>M53*M36</f>
        <v>1.1959419719574033E-3</v>
      </c>
      <c r="N68" s="284">
        <f>N53*N36</f>
        <v>8.0500840982594968E-3</v>
      </c>
      <c r="O68" s="253"/>
    </row>
    <row r="69" spans="1:16" ht="15.75" thickBot="1">
      <c r="B69" s="285"/>
      <c r="C69" s="286"/>
      <c r="D69" s="286"/>
      <c r="E69" s="286"/>
      <c r="F69" s="286"/>
      <c r="G69" s="286"/>
      <c r="H69" s="286"/>
      <c r="I69" s="286"/>
      <c r="J69" s="286"/>
      <c r="K69" s="286"/>
      <c r="L69" s="286"/>
      <c r="M69" s="286"/>
      <c r="N69" s="287">
        <f>N54*N37</f>
        <v>5.2510163043577817E-4</v>
      </c>
      <c r="O69" s="253"/>
    </row>
    <row r="71" spans="1:16" ht="15.75">
      <c r="A71" s="137" t="s">
        <v>152</v>
      </c>
      <c r="B71" s="270"/>
      <c r="C71" s="192"/>
      <c r="D71" s="192"/>
      <c r="E71" s="192"/>
      <c r="F71" s="192"/>
      <c r="G71" s="192"/>
      <c r="H71" s="192"/>
      <c r="I71" s="192"/>
      <c r="J71" s="192"/>
      <c r="K71" s="192"/>
      <c r="L71" s="192"/>
      <c r="M71" s="192"/>
      <c r="N71" s="271"/>
      <c r="O71" s="185"/>
    </row>
    <row r="72" spans="1:16" ht="15.75">
      <c r="A72" s="288" t="s">
        <v>161</v>
      </c>
      <c r="B72" s="185" t="s">
        <v>175</v>
      </c>
      <c r="C72" s="192"/>
      <c r="D72" s="192"/>
      <c r="E72" s="192"/>
      <c r="F72" s="192"/>
      <c r="G72" s="192"/>
      <c r="H72" s="192"/>
      <c r="I72" s="192"/>
      <c r="J72" s="192"/>
      <c r="K72" s="192"/>
      <c r="L72" s="192"/>
      <c r="M72" s="192"/>
      <c r="N72" s="271"/>
      <c r="O72" s="185"/>
    </row>
    <row r="73" spans="1:16" ht="15.75">
      <c r="A73" s="289" t="s">
        <v>173</v>
      </c>
      <c r="B73" s="185">
        <v>0</v>
      </c>
      <c r="C73" s="185">
        <v>1</v>
      </c>
      <c r="D73" s="185">
        <v>2</v>
      </c>
      <c r="E73" s="185">
        <v>3</v>
      </c>
      <c r="F73" s="185">
        <v>4</v>
      </c>
      <c r="G73" s="185">
        <v>5</v>
      </c>
      <c r="H73" s="185">
        <v>6</v>
      </c>
      <c r="I73" s="185">
        <v>7</v>
      </c>
      <c r="J73" s="185">
        <v>8</v>
      </c>
      <c r="K73" s="185">
        <v>9</v>
      </c>
      <c r="L73" s="185">
        <v>10</v>
      </c>
      <c r="M73" s="185">
        <v>11</v>
      </c>
      <c r="N73" s="185">
        <v>12</v>
      </c>
      <c r="O73" s="185"/>
    </row>
    <row r="74" spans="1:16" ht="15.75">
      <c r="A74" s="209" t="s">
        <v>10</v>
      </c>
      <c r="B74" s="290"/>
      <c r="C74" s="185"/>
      <c r="D74" s="185"/>
      <c r="E74" s="185"/>
      <c r="F74" s="185"/>
      <c r="G74" s="185"/>
      <c r="H74" s="185"/>
      <c r="I74" s="185"/>
      <c r="J74" s="185"/>
      <c r="K74" s="185"/>
      <c r="L74" s="185"/>
      <c r="M74" s="185"/>
      <c r="N74" s="185"/>
      <c r="O74" s="185"/>
    </row>
    <row r="75" spans="1:16" ht="15.75">
      <c r="A75" s="209">
        <v>0</v>
      </c>
      <c r="B75" s="306">
        <f>B11</f>
        <v>6.068009</v>
      </c>
      <c r="C75" s="306">
        <f t="shared" ref="C75:N75" si="31">(1+$D$7)*B$75</f>
        <v>6.068009</v>
      </c>
      <c r="D75" s="306">
        <f t="shared" si="31"/>
        <v>6.068009</v>
      </c>
      <c r="E75" s="306">
        <f t="shared" si="31"/>
        <v>6.068009</v>
      </c>
      <c r="F75" s="306">
        <f t="shared" si="31"/>
        <v>6.068009</v>
      </c>
      <c r="G75" s="306">
        <f t="shared" si="31"/>
        <v>6.068009</v>
      </c>
      <c r="H75" s="306">
        <f t="shared" si="31"/>
        <v>6.068009</v>
      </c>
      <c r="I75" s="306">
        <f t="shared" si="31"/>
        <v>6.068009</v>
      </c>
      <c r="J75" s="306">
        <f t="shared" si="31"/>
        <v>6.068009</v>
      </c>
      <c r="K75" s="306">
        <f t="shared" si="31"/>
        <v>6.068009</v>
      </c>
      <c r="L75" s="306">
        <f t="shared" si="31"/>
        <v>6.068009</v>
      </c>
      <c r="M75" s="306">
        <f t="shared" si="31"/>
        <v>6.068009</v>
      </c>
      <c r="N75" s="306">
        <f t="shared" si="31"/>
        <v>6.068009</v>
      </c>
      <c r="O75" s="196"/>
      <c r="P75" s="213"/>
    </row>
    <row r="76" spans="1:16" ht="15.75">
      <c r="A76" s="209">
        <f t="shared" ref="A76:A87" si="32">1+A75</f>
        <v>1</v>
      </c>
      <c r="B76" s="306"/>
      <c r="C76" s="306">
        <f t="shared" ref="C76:N76" si="33">(1+$D$7)*B$75</f>
        <v>6.068009</v>
      </c>
      <c r="D76" s="306">
        <f t="shared" si="33"/>
        <v>6.068009</v>
      </c>
      <c r="E76" s="306">
        <f t="shared" si="33"/>
        <v>6.068009</v>
      </c>
      <c r="F76" s="306">
        <f t="shared" si="33"/>
        <v>6.068009</v>
      </c>
      <c r="G76" s="306">
        <f t="shared" si="33"/>
        <v>6.068009</v>
      </c>
      <c r="H76" s="306">
        <f t="shared" si="33"/>
        <v>6.068009</v>
      </c>
      <c r="I76" s="306">
        <f t="shared" si="33"/>
        <v>6.068009</v>
      </c>
      <c r="J76" s="306">
        <f t="shared" si="33"/>
        <v>6.068009</v>
      </c>
      <c r="K76" s="306">
        <f t="shared" si="33"/>
        <v>6.068009</v>
      </c>
      <c r="L76" s="306">
        <f t="shared" si="33"/>
        <v>6.068009</v>
      </c>
      <c r="M76" s="306">
        <f t="shared" si="33"/>
        <v>6.068009</v>
      </c>
      <c r="N76" s="306">
        <f t="shared" si="33"/>
        <v>6.068009</v>
      </c>
      <c r="O76" s="196"/>
      <c r="P76" s="213"/>
    </row>
    <row r="77" spans="1:16" ht="15.75">
      <c r="A77" s="209">
        <f t="shared" si="32"/>
        <v>2</v>
      </c>
      <c r="B77" s="306"/>
      <c r="C77" s="306"/>
      <c r="D77" s="306">
        <f t="shared" ref="D77:N77" si="34">(1+$D$7)*C$75</f>
        <v>6.068009</v>
      </c>
      <c r="E77" s="306">
        <f t="shared" si="34"/>
        <v>6.068009</v>
      </c>
      <c r="F77" s="306">
        <f t="shared" si="34"/>
        <v>6.068009</v>
      </c>
      <c r="G77" s="306">
        <f t="shared" si="34"/>
        <v>6.068009</v>
      </c>
      <c r="H77" s="306">
        <f t="shared" si="34"/>
        <v>6.068009</v>
      </c>
      <c r="I77" s="306">
        <f t="shared" si="34"/>
        <v>6.068009</v>
      </c>
      <c r="J77" s="306">
        <f t="shared" si="34"/>
        <v>6.068009</v>
      </c>
      <c r="K77" s="306">
        <f t="shared" si="34"/>
        <v>6.068009</v>
      </c>
      <c r="L77" s="306">
        <f t="shared" si="34"/>
        <v>6.068009</v>
      </c>
      <c r="M77" s="306">
        <f t="shared" si="34"/>
        <v>6.068009</v>
      </c>
      <c r="N77" s="306">
        <f t="shared" si="34"/>
        <v>6.068009</v>
      </c>
      <c r="O77" s="196"/>
      <c r="P77" s="213"/>
    </row>
    <row r="78" spans="1:16" ht="15.75">
      <c r="A78" s="209">
        <f t="shared" si="32"/>
        <v>3</v>
      </c>
      <c r="B78" s="306"/>
      <c r="C78" s="306"/>
      <c r="D78" s="306"/>
      <c r="E78" s="306">
        <f t="shared" ref="E78:N78" si="35">(1+$D$7)*D$75</f>
        <v>6.068009</v>
      </c>
      <c r="F78" s="306">
        <f t="shared" si="35"/>
        <v>6.068009</v>
      </c>
      <c r="G78" s="306">
        <f t="shared" si="35"/>
        <v>6.068009</v>
      </c>
      <c r="H78" s="306">
        <f t="shared" si="35"/>
        <v>6.068009</v>
      </c>
      <c r="I78" s="306">
        <f t="shared" si="35"/>
        <v>6.068009</v>
      </c>
      <c r="J78" s="306">
        <f t="shared" si="35"/>
        <v>6.068009</v>
      </c>
      <c r="K78" s="306">
        <f t="shared" si="35"/>
        <v>6.068009</v>
      </c>
      <c r="L78" s="306">
        <f t="shared" si="35"/>
        <v>6.068009</v>
      </c>
      <c r="M78" s="306">
        <f t="shared" si="35"/>
        <v>6.068009</v>
      </c>
      <c r="N78" s="306">
        <f t="shared" si="35"/>
        <v>6.068009</v>
      </c>
      <c r="O78" s="196"/>
      <c r="P78" s="213"/>
    </row>
    <row r="79" spans="1:16" ht="15.75">
      <c r="A79" s="209">
        <f t="shared" si="32"/>
        <v>4</v>
      </c>
      <c r="B79" s="306"/>
      <c r="C79" s="306"/>
      <c r="D79" s="306"/>
      <c r="E79" s="306"/>
      <c r="F79" s="306">
        <f t="shared" ref="F79:N79" si="36">(1+$D$7)*E$75</f>
        <v>6.068009</v>
      </c>
      <c r="G79" s="306">
        <f t="shared" si="36"/>
        <v>6.068009</v>
      </c>
      <c r="H79" s="306">
        <f t="shared" si="36"/>
        <v>6.068009</v>
      </c>
      <c r="I79" s="306">
        <f t="shared" si="36"/>
        <v>6.068009</v>
      </c>
      <c r="J79" s="306">
        <f t="shared" si="36"/>
        <v>6.068009</v>
      </c>
      <c r="K79" s="306">
        <f t="shared" si="36"/>
        <v>6.068009</v>
      </c>
      <c r="L79" s="306">
        <f t="shared" si="36"/>
        <v>6.068009</v>
      </c>
      <c r="M79" s="306">
        <f t="shared" si="36"/>
        <v>6.068009</v>
      </c>
      <c r="N79" s="306">
        <f t="shared" si="36"/>
        <v>6.068009</v>
      </c>
      <c r="O79" s="196"/>
      <c r="P79" s="213"/>
    </row>
    <row r="80" spans="1:16" ht="15.75">
      <c r="A80" s="209">
        <f t="shared" si="32"/>
        <v>5</v>
      </c>
      <c r="B80" s="306"/>
      <c r="C80" s="306"/>
      <c r="D80" s="306"/>
      <c r="E80" s="306"/>
      <c r="F80" s="306"/>
      <c r="G80" s="306">
        <f t="shared" ref="G80:N80" si="37">(1+$D$7)*F$75</f>
        <v>6.068009</v>
      </c>
      <c r="H80" s="306">
        <f t="shared" si="37"/>
        <v>6.068009</v>
      </c>
      <c r="I80" s="306">
        <f t="shared" si="37"/>
        <v>6.068009</v>
      </c>
      <c r="J80" s="306">
        <f t="shared" si="37"/>
        <v>6.068009</v>
      </c>
      <c r="K80" s="306">
        <f t="shared" si="37"/>
        <v>6.068009</v>
      </c>
      <c r="L80" s="306">
        <f t="shared" si="37"/>
        <v>6.068009</v>
      </c>
      <c r="M80" s="306">
        <f t="shared" si="37"/>
        <v>6.068009</v>
      </c>
      <c r="N80" s="306">
        <f t="shared" si="37"/>
        <v>6.068009</v>
      </c>
      <c r="O80" s="196"/>
      <c r="P80" s="213"/>
    </row>
    <row r="81" spans="1:16" ht="15.75">
      <c r="A81" s="209">
        <f t="shared" si="32"/>
        <v>6</v>
      </c>
      <c r="B81" s="306"/>
      <c r="C81" s="306"/>
      <c r="D81" s="306"/>
      <c r="E81" s="306"/>
      <c r="F81" s="306"/>
      <c r="G81" s="306"/>
      <c r="H81" s="306">
        <f t="shared" ref="H81:N81" si="38">(1+$D$7)*G$75</f>
        <v>6.068009</v>
      </c>
      <c r="I81" s="306">
        <f t="shared" si="38"/>
        <v>6.068009</v>
      </c>
      <c r="J81" s="306">
        <f t="shared" si="38"/>
        <v>6.068009</v>
      </c>
      <c r="K81" s="306">
        <f t="shared" si="38"/>
        <v>6.068009</v>
      </c>
      <c r="L81" s="306">
        <f t="shared" si="38"/>
        <v>6.068009</v>
      </c>
      <c r="M81" s="306">
        <f t="shared" si="38"/>
        <v>6.068009</v>
      </c>
      <c r="N81" s="306">
        <f t="shared" si="38"/>
        <v>6.068009</v>
      </c>
      <c r="O81" s="196"/>
      <c r="P81" s="213"/>
    </row>
    <row r="82" spans="1:16" ht="15.75">
      <c r="A82" s="209">
        <f t="shared" si="32"/>
        <v>7</v>
      </c>
      <c r="B82" s="306"/>
      <c r="C82" s="306"/>
      <c r="D82" s="306"/>
      <c r="E82" s="306"/>
      <c r="F82" s="306"/>
      <c r="G82" s="306"/>
      <c r="H82" s="306"/>
      <c r="I82" s="306">
        <f t="shared" ref="I82:N82" si="39">(1+$D$7)*H$75</f>
        <v>6.068009</v>
      </c>
      <c r="J82" s="306">
        <f t="shared" si="39"/>
        <v>6.068009</v>
      </c>
      <c r="K82" s="306">
        <f t="shared" si="39"/>
        <v>6.068009</v>
      </c>
      <c r="L82" s="306">
        <f t="shared" si="39"/>
        <v>6.068009</v>
      </c>
      <c r="M82" s="306">
        <f t="shared" si="39"/>
        <v>6.068009</v>
      </c>
      <c r="N82" s="306">
        <f t="shared" si="39"/>
        <v>6.068009</v>
      </c>
      <c r="O82" s="196"/>
      <c r="P82" s="213"/>
    </row>
    <row r="83" spans="1:16" ht="15.75">
      <c r="A83" s="209">
        <f t="shared" si="32"/>
        <v>8</v>
      </c>
      <c r="B83" s="306"/>
      <c r="C83" s="306"/>
      <c r="D83" s="306"/>
      <c r="E83" s="306"/>
      <c r="F83" s="306"/>
      <c r="G83" s="306"/>
      <c r="H83" s="306"/>
      <c r="I83" s="306"/>
      <c r="J83" s="306">
        <f>(1+$D$7)*I$75</f>
        <v>6.068009</v>
      </c>
      <c r="K83" s="306">
        <f>(1+$D$7)*J$75</f>
        <v>6.068009</v>
      </c>
      <c r="L83" s="306">
        <f>(1+$D$7)*K$75</f>
        <v>6.068009</v>
      </c>
      <c r="M83" s="306">
        <f>(1+$D$7)*L$75</f>
        <v>6.068009</v>
      </c>
      <c r="N83" s="306">
        <f>(1+$D$7)*M$75</f>
        <v>6.068009</v>
      </c>
      <c r="O83" s="196"/>
      <c r="P83" s="213"/>
    </row>
    <row r="84" spans="1:16" ht="15.75">
      <c r="A84" s="209">
        <f t="shared" si="32"/>
        <v>9</v>
      </c>
      <c r="B84" s="306"/>
      <c r="C84" s="306"/>
      <c r="D84" s="306"/>
      <c r="E84" s="306"/>
      <c r="F84" s="306"/>
      <c r="G84" s="306"/>
      <c r="H84" s="306"/>
      <c r="I84" s="306"/>
      <c r="J84" s="306"/>
      <c r="K84" s="306">
        <f>(1+$D$7)*J$75</f>
        <v>6.068009</v>
      </c>
      <c r="L84" s="306">
        <f>(1+$D$7)*K$75</f>
        <v>6.068009</v>
      </c>
      <c r="M84" s="306">
        <f>(1+$D$7)*L$75</f>
        <v>6.068009</v>
      </c>
      <c r="N84" s="306">
        <f>(1+$D$7)*M$75</f>
        <v>6.068009</v>
      </c>
      <c r="O84" s="196"/>
      <c r="P84" s="213"/>
    </row>
    <row r="85" spans="1:16" ht="15.75">
      <c r="A85" s="209">
        <f t="shared" si="32"/>
        <v>10</v>
      </c>
      <c r="B85" s="306"/>
      <c r="C85" s="306"/>
      <c r="D85" s="306"/>
      <c r="E85" s="306"/>
      <c r="F85" s="306"/>
      <c r="G85" s="306"/>
      <c r="H85" s="306"/>
      <c r="I85" s="306"/>
      <c r="J85" s="306"/>
      <c r="K85" s="306"/>
      <c r="L85" s="306">
        <f>(1+$D$7)*K$75</f>
        <v>6.068009</v>
      </c>
      <c r="M85" s="306">
        <f>(1+$D$7)*L$75</f>
        <v>6.068009</v>
      </c>
      <c r="N85" s="306">
        <f>(1+$D$7)*M$75</f>
        <v>6.068009</v>
      </c>
      <c r="O85" s="196"/>
      <c r="P85" s="213"/>
    </row>
    <row r="86" spans="1:16" ht="15.75">
      <c r="A86" s="209">
        <f t="shared" si="32"/>
        <v>11</v>
      </c>
      <c r="B86" s="306"/>
      <c r="C86" s="306"/>
      <c r="D86" s="306"/>
      <c r="E86" s="306"/>
      <c r="F86" s="306"/>
      <c r="G86" s="306"/>
      <c r="H86" s="306"/>
      <c r="I86" s="306"/>
      <c r="J86" s="306"/>
      <c r="K86" s="306"/>
      <c r="L86" s="306"/>
      <c r="M86" s="306">
        <f>(1+$D$7)*L$75</f>
        <v>6.068009</v>
      </c>
      <c r="N86" s="306">
        <f>(1+$D$7)*M$75</f>
        <v>6.068009</v>
      </c>
      <c r="O86" s="196"/>
      <c r="P86" s="213"/>
    </row>
    <row r="87" spans="1:16" ht="15.75">
      <c r="A87" s="209">
        <f t="shared" si="32"/>
        <v>12</v>
      </c>
      <c r="B87" s="306"/>
      <c r="C87" s="306"/>
      <c r="D87" s="306"/>
      <c r="E87" s="306"/>
      <c r="F87" s="306"/>
      <c r="G87" s="306"/>
      <c r="H87" s="306"/>
      <c r="I87" s="306"/>
      <c r="J87" s="306"/>
      <c r="K87" s="306"/>
      <c r="L87" s="306"/>
      <c r="M87" s="306"/>
      <c r="N87" s="306">
        <f>(1+$D$7)*M$75</f>
        <v>6.068009</v>
      </c>
      <c r="O87" s="196"/>
      <c r="P87" s="213"/>
    </row>
    <row r="88" spans="1:16">
      <c r="B88" s="223"/>
      <c r="C88" s="223"/>
      <c r="D88" s="223"/>
      <c r="E88" s="223"/>
      <c r="F88" s="223"/>
      <c r="G88" s="223"/>
      <c r="H88" s="223"/>
      <c r="I88" s="223"/>
      <c r="J88" s="223"/>
      <c r="K88" s="223"/>
      <c r="L88" s="223"/>
      <c r="M88" s="223"/>
      <c r="N88" s="223"/>
      <c r="O88" s="223"/>
      <c r="P88" s="213"/>
    </row>
    <row r="89" spans="1:16" ht="15.75">
      <c r="A89" s="137" t="s">
        <v>150</v>
      </c>
      <c r="B89" s="270"/>
      <c r="C89" s="192"/>
      <c r="D89" s="192"/>
      <c r="E89" s="192"/>
      <c r="F89" s="192"/>
      <c r="G89" s="192"/>
      <c r="H89" s="192"/>
      <c r="I89" s="192"/>
      <c r="J89" s="192"/>
      <c r="K89" s="192"/>
      <c r="L89" s="192"/>
      <c r="M89" s="192"/>
      <c r="N89" s="271"/>
      <c r="O89" s="185"/>
    </row>
    <row r="90" spans="1:16" ht="15.75">
      <c r="A90" s="288" t="s">
        <v>161</v>
      </c>
      <c r="B90" s="185" t="s">
        <v>151</v>
      </c>
      <c r="C90" s="192"/>
      <c r="D90" s="192"/>
      <c r="E90" s="192"/>
      <c r="F90" s="192"/>
      <c r="G90" s="192"/>
      <c r="H90" s="192"/>
      <c r="I90" s="192"/>
      <c r="J90" s="192"/>
      <c r="K90" s="192"/>
      <c r="L90" s="192"/>
      <c r="M90" s="192"/>
      <c r="N90" s="271"/>
      <c r="O90" s="185"/>
    </row>
    <row r="91" spans="1:16" ht="15.75">
      <c r="A91" s="289" t="s">
        <v>173</v>
      </c>
      <c r="B91" s="185">
        <v>0</v>
      </c>
      <c r="C91" s="185">
        <v>1</v>
      </c>
      <c r="D91" s="185">
        <v>2</v>
      </c>
      <c r="E91" s="185">
        <v>3</v>
      </c>
      <c r="F91" s="185">
        <v>4</v>
      </c>
      <c r="G91" s="185">
        <v>5</v>
      </c>
      <c r="H91" s="185">
        <v>6</v>
      </c>
      <c r="I91" s="185">
        <v>7</v>
      </c>
      <c r="J91" s="185">
        <v>8</v>
      </c>
      <c r="K91" s="185">
        <v>9</v>
      </c>
      <c r="L91" s="185">
        <v>10</v>
      </c>
      <c r="M91" s="185">
        <v>11</v>
      </c>
      <c r="N91" s="185">
        <v>12</v>
      </c>
      <c r="O91" s="185"/>
    </row>
    <row r="92" spans="1:16" ht="15.75">
      <c r="A92" s="209" t="s">
        <v>10</v>
      </c>
      <c r="B92" s="290"/>
      <c r="C92" s="185"/>
      <c r="D92" s="185"/>
      <c r="E92" s="185"/>
      <c r="F92" s="185"/>
      <c r="G92" s="185"/>
      <c r="H92" s="185"/>
      <c r="I92" s="185"/>
      <c r="J92" s="185"/>
      <c r="K92" s="185"/>
      <c r="L92" s="185"/>
      <c r="M92" s="185"/>
      <c r="N92" s="185"/>
      <c r="O92" s="185"/>
    </row>
    <row r="93" spans="1:16" ht="15.75">
      <c r="A93" s="209">
        <v>0</v>
      </c>
      <c r="B93" s="196">
        <f t="shared" ref="B93:M93" si="40">(1/(1+$D$4))*(($D$11*C93+(1-$D$11)*C94)-((C93-C94)/((1+$D$9)-1/(1+$D$9)))*($D$5-$D$4))</f>
        <v>3.6569798555154303</v>
      </c>
      <c r="C93" s="196">
        <f t="shared" si="40"/>
        <v>4.7152145985540157</v>
      </c>
      <c r="D93" s="196">
        <f t="shared" si="40"/>
        <v>5.9649107916465196</v>
      </c>
      <c r="E93" s="196">
        <f t="shared" si="40"/>
        <v>7.4121295662543316</v>
      </c>
      <c r="F93" s="196">
        <f t="shared" si="40"/>
        <v>9.0638872928093779</v>
      </c>
      <c r="G93" s="196">
        <f t="shared" si="40"/>
        <v>10.932712992559457</v>
      </c>
      <c r="H93" s="196">
        <f t="shared" si="40"/>
        <v>13.039446757853167</v>
      </c>
      <c r="I93" s="196">
        <f t="shared" si="40"/>
        <v>15.41256552412041</v>
      </c>
      <c r="J93" s="196">
        <f t="shared" si="40"/>
        <v>18.085524823880096</v>
      </c>
      <c r="K93" s="196">
        <f t="shared" si="40"/>
        <v>21.095981335571377</v>
      </c>
      <c r="L93" s="196">
        <f t="shared" si="40"/>
        <v>24.486320436950646</v>
      </c>
      <c r="M93" s="196">
        <f t="shared" si="40"/>
        <v>28.304250005311939</v>
      </c>
      <c r="N93" s="196">
        <f t="shared" ref="N93:N105" si="41">MAX(N25-N75,0)</f>
        <v>32.603468783388365</v>
      </c>
      <c r="O93" s="196"/>
      <c r="P93" s="213"/>
    </row>
    <row r="94" spans="1:16" ht="15.75">
      <c r="A94" s="209">
        <f t="shared" ref="A94:A105" si="42">1+A93</f>
        <v>1</v>
      </c>
      <c r="B94" s="196"/>
      <c r="C94" s="196">
        <f t="shared" ref="C94:M94" si="43">(1/(1+$D$4))*(($D$11*D94+(1-$D$11)*D95)-((D94-D95)/((1+$D$9)-1/(1+$D$9)))*($D$5-$D$4))</f>
        <v>2.6938280768956848</v>
      </c>
      <c r="D94" s="196">
        <f t="shared" si="43"/>
        <v>3.5797146763599184</v>
      </c>
      <c r="E94" s="196">
        <f t="shared" si="43"/>
        <v>4.6523675630394692</v>
      </c>
      <c r="F94" s="196">
        <f t="shared" si="43"/>
        <v>5.916991753428813</v>
      </c>
      <c r="G94" s="196">
        <f t="shared" si="43"/>
        <v>7.3755283146594595</v>
      </c>
      <c r="H94" s="196">
        <f t="shared" si="43"/>
        <v>9.0328639551668122</v>
      </c>
      <c r="I94" s="196">
        <f t="shared" si="43"/>
        <v>10.902861360457683</v>
      </c>
      <c r="J94" s="196">
        <f t="shared" si="43"/>
        <v>13.009520496671136</v>
      </c>
      <c r="K94" s="196">
        <f t="shared" si="43"/>
        <v>15.382564447285427</v>
      </c>
      <c r="L94" s="196">
        <f t="shared" si="43"/>
        <v>18.055448744353026</v>
      </c>
      <c r="M94" s="196">
        <f t="shared" si="43"/>
        <v>21.065830065845489</v>
      </c>
      <c r="N94" s="196">
        <f t="shared" si="41"/>
        <v>24.456093789050442</v>
      </c>
      <c r="O94" s="196"/>
      <c r="P94" s="213"/>
    </row>
    <row r="95" spans="1:16" ht="15.75">
      <c r="A95" s="209">
        <f t="shared" si="42"/>
        <v>2</v>
      </c>
      <c r="B95" s="196"/>
      <c r="C95" s="196"/>
      <c r="D95" s="196">
        <f t="shared" ref="D95:M95" si="44">(1/(1+$D$4))*(($D$11*E95+(1-$D$11)*E96)-((E95-E96)/((1+$D$9)-1/(1+$D$9)))*($D$5-$D$4))</f>
        <v>1.8857683251767381</v>
      </c>
      <c r="E95" s="196">
        <f t="shared" si="44"/>
        <v>2.6028280386488305</v>
      </c>
      <c r="F95" s="196">
        <f t="shared" si="44"/>
        <v>3.5027297036202323</v>
      </c>
      <c r="G95" s="196">
        <f t="shared" si="44"/>
        <v>4.5937284233342597</v>
      </c>
      <c r="H95" s="196">
        <f t="shared" si="44"/>
        <v>5.875044607322601</v>
      </c>
      <c r="I95" s="196">
        <f t="shared" si="44"/>
        <v>7.3432696062739184</v>
      </c>
      <c r="J95" s="196">
        <f t="shared" si="44"/>
        <v>9.0029376939847836</v>
      </c>
      <c r="K95" s="196">
        <f t="shared" si="44"/>
        <v>10.8728602836227</v>
      </c>
      <c r="L95" s="196">
        <f t="shared" si="44"/>
        <v>12.979444417144066</v>
      </c>
      <c r="M95" s="196">
        <f t="shared" si="44"/>
        <v>15.352413177559539</v>
      </c>
      <c r="N95" s="196">
        <f t="shared" si="41"/>
        <v>18.025222096452826</v>
      </c>
      <c r="O95" s="196"/>
      <c r="P95" s="213"/>
    </row>
    <row r="96" spans="1:16" ht="15.75">
      <c r="A96" s="209">
        <f t="shared" si="42"/>
        <v>3</v>
      </c>
      <c r="B96" s="196"/>
      <c r="C96" s="196"/>
      <c r="D96" s="196"/>
      <c r="E96" s="196">
        <f t="shared" ref="E96:M96" si="45">(1/(1+$D$4))*(($D$11*F96+(1-$D$11)*F97)-((F96-F97)/((1+$D$9)-1/(1+$D$9)))*($D$5-$D$4))</f>
        <v>1.2302841905936734</v>
      </c>
      <c r="F96" s="196">
        <f t="shared" si="45"/>
        <v>1.7813408382517597</v>
      </c>
      <c r="G96" s="196">
        <f t="shared" si="45"/>
        <v>2.5084693909213938</v>
      </c>
      <c r="H96" s="196">
        <f t="shared" si="45"/>
        <v>3.4283380318880439</v>
      </c>
      <c r="I96" s="196">
        <f t="shared" si="45"/>
        <v>4.5426000158398443</v>
      </c>
      <c r="J96" s="196">
        <f t="shared" si="45"/>
        <v>5.8404688070426376</v>
      </c>
      <c r="K96" s="196">
        <f t="shared" si="45"/>
        <v>7.3132685294389352</v>
      </c>
      <c r="L96" s="196">
        <f t="shared" si="45"/>
        <v>8.9728616144577131</v>
      </c>
      <c r="M96" s="196">
        <f t="shared" si="45"/>
        <v>10.842709013896812</v>
      </c>
      <c r="N96" s="196">
        <f t="shared" si="41"/>
        <v>12.949217769243862</v>
      </c>
      <c r="O96" s="196"/>
      <c r="P96" s="213"/>
    </row>
    <row r="97" spans="1:16" ht="15.75">
      <c r="A97" s="209">
        <f t="shared" si="42"/>
        <v>4</v>
      </c>
      <c r="B97" s="196"/>
      <c r="C97" s="196"/>
      <c r="D97" s="196"/>
      <c r="E97" s="196"/>
      <c r="F97" s="196">
        <f t="shared" ref="F97:M97" si="46">(1/(1+$D$4))*(($D$11*G97+(1-$D$11)*G98)-((G97-G98)/((1+$D$9)-1/(1+$D$9)))*($D$5-$D$4))</f>
        <v>0.72549352385111232</v>
      </c>
      <c r="G97" s="196">
        <f t="shared" si="46"/>
        <v>1.1160219206964572</v>
      </c>
      <c r="H97" s="196">
        <f t="shared" si="46"/>
        <v>1.6680223584028879</v>
      </c>
      <c r="I97" s="196">
        <f t="shared" si="46"/>
        <v>2.4121590820016916</v>
      </c>
      <c r="J97" s="196">
        <f t="shared" si="46"/>
        <v>3.3616224541850777</v>
      </c>
      <c r="K97" s="196">
        <f t="shared" si="46"/>
        <v>4.5036178302759833</v>
      </c>
      <c r="L97" s="196">
        <f t="shared" si="46"/>
        <v>5.810392727515568</v>
      </c>
      <c r="M97" s="196">
        <f t="shared" si="46"/>
        <v>7.2831172597130465</v>
      </c>
      <c r="N97" s="196">
        <f t="shared" si="41"/>
        <v>8.9426349665575096</v>
      </c>
      <c r="O97" s="196"/>
      <c r="P97" s="213"/>
    </row>
    <row r="98" spans="1:16" ht="15.75">
      <c r="A98" s="209">
        <f t="shared" si="42"/>
        <v>5</v>
      </c>
      <c r="B98" s="196"/>
      <c r="C98" s="196"/>
      <c r="D98" s="196"/>
      <c r="E98" s="196"/>
      <c r="F98" s="196"/>
      <c r="G98" s="196">
        <f t="shared" ref="G98:M98" si="47">(1/(1+$D$4))*(($D$11*H98+(1-$D$11)*H99)-((H98-H99)/((1+$D$9)-1/(1+$D$9)))*($D$5-$D$4))</f>
        <v>0.36704817875331514</v>
      </c>
      <c r="H98" s="196">
        <f t="shared" si="47"/>
        <v>0.60980615326746468</v>
      </c>
      <c r="I98" s="196">
        <f t="shared" si="47"/>
        <v>0.98639448723610423</v>
      </c>
      <c r="J98" s="196">
        <f t="shared" si="47"/>
        <v>1.5438198540740136</v>
      </c>
      <c r="K98" s="196">
        <f t="shared" si="47"/>
        <v>2.3194189474484519</v>
      </c>
      <c r="L98" s="196">
        <f t="shared" si="47"/>
        <v>3.3141983510580473</v>
      </c>
      <c r="M98" s="196">
        <f t="shared" si="47"/>
        <v>4.4734665605500972</v>
      </c>
      <c r="N98" s="196">
        <f t="shared" si="41"/>
        <v>5.7801660796153662</v>
      </c>
      <c r="O98" s="196"/>
      <c r="P98" s="213"/>
    </row>
    <row r="99" spans="1:16" ht="15.75">
      <c r="A99" s="209">
        <f t="shared" si="42"/>
        <v>6</v>
      </c>
      <c r="B99" s="196"/>
      <c r="C99" s="196"/>
      <c r="D99" s="196"/>
      <c r="E99" s="196"/>
      <c r="F99" s="196"/>
      <c r="G99" s="196"/>
      <c r="H99" s="196">
        <f t="shared" ref="H99:M99" si="48">(1/(1+$D$4))*(($D$11*I99+(1-$D$11)*I100)-((I99-I100)/((1+$D$9)-1/(1+$D$9)))*($D$5-$D$4))</f>
        <v>0.14382919854175258</v>
      </c>
      <c r="I99" s="196">
        <f t="shared" si="48"/>
        <v>0.26372313370490974</v>
      </c>
      <c r="J99" s="196">
        <f t="shared" si="48"/>
        <v>0.4745265048517277</v>
      </c>
      <c r="K99" s="196">
        <f t="shared" si="48"/>
        <v>0.83243451170368832</v>
      </c>
      <c r="L99" s="196">
        <f t="shared" si="48"/>
        <v>1.4086342881431539</v>
      </c>
      <c r="M99" s="196">
        <f t="shared" si="48"/>
        <v>2.2557580151730927</v>
      </c>
      <c r="N99" s="196">
        <f t="shared" si="41"/>
        <v>3.2839717031578459</v>
      </c>
      <c r="O99" s="196"/>
      <c r="P99" s="213"/>
    </row>
    <row r="100" spans="1:16" ht="15.75">
      <c r="A100" s="209">
        <f t="shared" si="42"/>
        <v>7</v>
      </c>
      <c r="B100" s="196"/>
      <c r="C100" s="196"/>
      <c r="D100" s="196"/>
      <c r="E100" s="196"/>
      <c r="F100" s="196"/>
      <c r="G100" s="196"/>
      <c r="H100" s="196"/>
      <c r="I100" s="196">
        <f>(1/(1+$D$4))*(($D$11*J100+(1-$D$11)*J101)-((J100-J101)/((1+$D$9)-1/(1+$D$9)))*($D$5-$D$4))</f>
        <v>3.3404838470879078E-2</v>
      </c>
      <c r="J100" s="196">
        <f>(1/(1+$D$4))*(($D$11*K100+(1-$D$11)*K101)-((K100-K101)/((1+$D$9)-1/(1+$D$9)))*($D$5-$D$4))</f>
        <v>6.962182691350613E-2</v>
      </c>
      <c r="K100" s="196">
        <f>(1/(1+$D$4))*(($D$11*L100+(1-$D$11)*L101)-((L100-L101)/((1+$D$9)-1/(1+$D$9)))*($D$5-$D$4))</f>
        <v>0.14510469155538019</v>
      </c>
      <c r="L100" s="196">
        <f>(1/(1+$D$4))*(($D$11*M100+(1-$D$11)*M101)-((M100-M101)/((1+$D$9)-1/(1+$D$9)))*($D$5-$D$4))</f>
        <v>0.30242486365001475</v>
      </c>
      <c r="M100" s="196">
        <f>(1/(1+$D$4))*(($D$11*N100+(1-$D$11)*N101)-((N100-N101)/((1+$D$9)-1/(1+$D$9)))*($D$5-$D$4))</f>
        <v>0.63030903531346816</v>
      </c>
      <c r="N100" s="196">
        <f t="shared" si="41"/>
        <v>1.3136799507912267</v>
      </c>
      <c r="O100" s="196"/>
      <c r="P100" s="213"/>
    </row>
    <row r="101" spans="1:16" ht="15.75">
      <c r="A101" s="209">
        <f t="shared" si="42"/>
        <v>8</v>
      </c>
      <c r="B101" s="196"/>
      <c r="C101" s="196"/>
      <c r="D101" s="196"/>
      <c r="E101" s="196"/>
      <c r="F101" s="196"/>
      <c r="G101" s="196"/>
      <c r="H101" s="196"/>
      <c r="I101" s="196"/>
      <c r="J101" s="196">
        <f>(1/(1+$D$4))*(($D$11*K101+(1-$D$11)*K102)-((K101-K102)/((1+$D$9)-1/(1+$D$9)))*($D$5-$D$4))</f>
        <v>0</v>
      </c>
      <c r="K101" s="196">
        <f>(1/(1+$D$4))*(($D$11*L101+(1-$D$11)*L102)-((L101-L102)/((1+$D$9)-1/(1+$D$9)))*($D$5-$D$4))</f>
        <v>0</v>
      </c>
      <c r="L101" s="196">
        <f>(1/(1+$D$4))*(($D$11*M101+(1-$D$11)*M102)-((M101-M102)/((1+$D$9)-1/(1+$D$9)))*($D$5-$D$4))</f>
        <v>0</v>
      </c>
      <c r="M101" s="196">
        <f>(1/(1+$D$4))*(($D$11*N101+(1-$D$11)*N102)-((N101-N102)/((1+$D$9)-1/(1+$D$9)))*($D$5-$D$4))</f>
        <v>0</v>
      </c>
      <c r="N101" s="196">
        <f t="shared" si="41"/>
        <v>0</v>
      </c>
      <c r="O101" s="196"/>
      <c r="P101" s="213"/>
    </row>
    <row r="102" spans="1:16" ht="15.75">
      <c r="A102" s="209">
        <f t="shared" si="42"/>
        <v>9</v>
      </c>
      <c r="B102" s="196"/>
      <c r="C102" s="196"/>
      <c r="D102" s="196"/>
      <c r="E102" s="196"/>
      <c r="F102" s="196"/>
      <c r="G102" s="196"/>
      <c r="H102" s="196"/>
      <c r="I102" s="196"/>
      <c r="J102" s="196"/>
      <c r="K102" s="196">
        <f>(1/(1+$D$4))*(($D$11*L102+(1-$D$11)*L103)-((L102-L103)/((1+$D$9)-1/(1+$D$9)))*($D$5-$D$4))</f>
        <v>0</v>
      </c>
      <c r="L102" s="196">
        <f>(1/(1+$D$4))*(($D$11*M102+(1-$D$11)*M103)-((M102-M103)/((1+$D$9)-1/(1+$D$9)))*($D$5-$D$4))</f>
        <v>0</v>
      </c>
      <c r="M102" s="196">
        <f>(1/(1+$D$4))*(($D$11*N102+(1-$D$11)*N103)-((N102-N103)/((1+$D$9)-1/(1+$D$9)))*($D$5-$D$4))</f>
        <v>0</v>
      </c>
      <c r="N102" s="196">
        <f t="shared" si="41"/>
        <v>0</v>
      </c>
      <c r="O102" s="196"/>
      <c r="P102" s="213"/>
    </row>
    <row r="103" spans="1:16" ht="15.75">
      <c r="A103" s="209">
        <f t="shared" si="42"/>
        <v>10</v>
      </c>
      <c r="B103" s="196"/>
      <c r="C103" s="196"/>
      <c r="D103" s="196"/>
      <c r="E103" s="196"/>
      <c r="F103" s="196"/>
      <c r="G103" s="196"/>
      <c r="H103" s="196"/>
      <c r="I103" s="196"/>
      <c r="J103" s="196"/>
      <c r="K103" s="196"/>
      <c r="L103" s="196">
        <f>(1/(1+$D$4))*(($D$11*M103+(1-$D$11)*M104)-((M103-M104)/((1+$D$9)-1/(1+$D$9)))*($D$5-$D$4))</f>
        <v>0</v>
      </c>
      <c r="M103" s="196">
        <f>(1/(1+$D$4))*(($D$11*N103+(1-$D$11)*N104)-((N103-N104)/((1+$D$9)-1/(1+$D$9)))*($D$5-$D$4))</f>
        <v>0</v>
      </c>
      <c r="N103" s="196">
        <f t="shared" si="41"/>
        <v>0</v>
      </c>
      <c r="O103" s="196"/>
      <c r="P103" s="213"/>
    </row>
    <row r="104" spans="1:16" ht="15.75">
      <c r="A104" s="209">
        <f t="shared" si="42"/>
        <v>11</v>
      </c>
      <c r="B104" s="196"/>
      <c r="C104" s="196"/>
      <c r="D104" s="196"/>
      <c r="E104" s="196"/>
      <c r="F104" s="196"/>
      <c r="G104" s="196"/>
      <c r="H104" s="196"/>
      <c r="I104" s="196"/>
      <c r="J104" s="196"/>
      <c r="K104" s="196"/>
      <c r="L104" s="196"/>
      <c r="M104" s="196">
        <f>(1/(1+$D$4))*(($D$11*N104+(1-$D$11)*N105)-((N104-N105)/((1+$D$9)-1/(1+$D$9)))*($D$5-$D$4))</f>
        <v>0</v>
      </c>
      <c r="N104" s="196">
        <f t="shared" si="41"/>
        <v>0</v>
      </c>
      <c r="O104" s="196"/>
      <c r="P104" s="213"/>
    </row>
    <row r="105" spans="1:16" ht="15.75">
      <c r="A105" s="209">
        <f t="shared" si="42"/>
        <v>12</v>
      </c>
      <c r="B105" s="196"/>
      <c r="C105" s="196"/>
      <c r="D105" s="196"/>
      <c r="E105" s="196"/>
      <c r="F105" s="196"/>
      <c r="G105" s="196"/>
      <c r="H105" s="196"/>
      <c r="I105" s="196"/>
      <c r="J105" s="196"/>
      <c r="K105" s="196"/>
      <c r="L105" s="196"/>
      <c r="M105" s="196"/>
      <c r="N105" s="196">
        <f t="shared" si="41"/>
        <v>0</v>
      </c>
      <c r="O105" s="196"/>
      <c r="P105" s="213"/>
    </row>
    <row r="106" spans="1:16">
      <c r="P106" s="213"/>
    </row>
    <row r="108" spans="1:16" ht="15.75">
      <c r="A108" s="137" t="s">
        <v>153</v>
      </c>
      <c r="B108" s="270"/>
      <c r="C108" s="192"/>
      <c r="D108" s="192"/>
      <c r="E108" s="192"/>
      <c r="F108" s="192"/>
      <c r="G108" s="192"/>
      <c r="H108" s="192"/>
      <c r="I108" s="192"/>
      <c r="J108" s="192"/>
      <c r="K108" s="192"/>
      <c r="L108" s="192"/>
      <c r="M108" s="192"/>
      <c r="N108" s="271"/>
      <c r="O108" s="185"/>
    </row>
    <row r="109" spans="1:16" ht="15.75">
      <c r="A109" s="288" t="s">
        <v>161</v>
      </c>
      <c r="B109" s="185" t="s">
        <v>154</v>
      </c>
      <c r="C109" s="192"/>
      <c r="D109" s="192"/>
      <c r="E109" s="192"/>
      <c r="F109" s="192"/>
      <c r="G109" s="192"/>
      <c r="H109" s="192"/>
      <c r="I109" s="192"/>
      <c r="J109" s="192"/>
      <c r="K109" s="192"/>
      <c r="L109" s="192"/>
      <c r="M109" s="192"/>
      <c r="N109" s="271"/>
      <c r="O109" s="185"/>
    </row>
    <row r="110" spans="1:16" ht="15.75">
      <c r="A110" s="289" t="s">
        <v>173</v>
      </c>
      <c r="B110" s="185">
        <v>0</v>
      </c>
      <c r="C110" s="185">
        <v>1</v>
      </c>
      <c r="D110" s="185">
        <v>2</v>
      </c>
      <c r="E110" s="185">
        <v>3</v>
      </c>
      <c r="F110" s="185">
        <v>4</v>
      </c>
      <c r="G110" s="185">
        <v>5</v>
      </c>
      <c r="H110" s="185">
        <v>6</v>
      </c>
      <c r="I110" s="185">
        <v>7</v>
      </c>
      <c r="J110" s="185">
        <v>8</v>
      </c>
      <c r="K110" s="185">
        <v>9</v>
      </c>
      <c r="L110" s="185">
        <v>10</v>
      </c>
      <c r="M110" s="185">
        <v>11</v>
      </c>
      <c r="N110" s="185">
        <v>12</v>
      </c>
      <c r="O110" s="185"/>
    </row>
    <row r="111" spans="1:16" ht="15.75">
      <c r="A111" s="209" t="s">
        <v>10</v>
      </c>
      <c r="B111" s="290"/>
      <c r="C111" s="185"/>
      <c r="D111" s="185"/>
      <c r="E111" s="185"/>
      <c r="F111" s="185"/>
      <c r="G111" s="185"/>
      <c r="H111" s="185"/>
      <c r="I111" s="185"/>
      <c r="J111" s="185"/>
      <c r="K111" s="185"/>
      <c r="L111" s="185"/>
      <c r="M111" s="185"/>
      <c r="N111" s="185"/>
      <c r="O111" s="185"/>
    </row>
    <row r="112" spans="1:16" ht="15.75">
      <c r="A112" s="209">
        <v>0</v>
      </c>
      <c r="B112" s="196">
        <f t="shared" ref="B112:M112" si="49">MAX(B25-B75,(1/(1+$D$4))*(($D$11*C112+(1-$D$11)*C113)-((C112-C113)/((1+$D$9)-1/(1+$D$9)))*($D$5-$D$4)))</f>
        <v>4.1612519999999993</v>
      </c>
      <c r="C112" s="196">
        <f t="shared" si="49"/>
        <v>5.3600674106714656</v>
      </c>
      <c r="D112" s="196">
        <f t="shared" si="49"/>
        <v>6.6993776614749212</v>
      </c>
      <c r="E112" s="196">
        <f t="shared" si="49"/>
        <v>8.1956480063001695</v>
      </c>
      <c r="F112" s="196">
        <f t="shared" si="49"/>
        <v>9.8672733399078147</v>
      </c>
      <c r="G112" s="196">
        <f t="shared" si="49"/>
        <v>11.734804341656851</v>
      </c>
      <c r="H112" s="196">
        <f t="shared" si="49"/>
        <v>13.821200122083788</v>
      </c>
      <c r="I112" s="196">
        <f t="shared" si="49"/>
        <v>16.152110478327661</v>
      </c>
      <c r="J112" s="196">
        <f t="shared" si="49"/>
        <v>18.756191228401438</v>
      </c>
      <c r="K112" s="196">
        <f t="shared" si="49"/>
        <v>21.665456500976045</v>
      </c>
      <c r="L112" s="196">
        <f t="shared" si="49"/>
        <v>24.915672311668093</v>
      </c>
      <c r="M112" s="196">
        <f t="shared" si="49"/>
        <v>28.546796264391677</v>
      </c>
      <c r="N112" s="196">
        <f t="shared" ref="N112:N124" si="50">MAX(N25-N75,0)</f>
        <v>32.603468783388365</v>
      </c>
      <c r="O112" s="196"/>
      <c r="P112" s="213"/>
    </row>
    <row r="113" spans="1:16" ht="15.75">
      <c r="A113" s="209">
        <f t="shared" ref="A113:A124" si="51">1+A112</f>
        <v>1</v>
      </c>
      <c r="B113" s="196"/>
      <c r="C113" s="196">
        <f t="shared" ref="C113:M113" si="52">MAX(C26-C76,(1/(1+$D$4))*(($D$11*D113+(1-$D$11)*D114)-((D113-D114)/((1+$D$9)-1/(1+$D$9)))*($D$5-$D$4)))</f>
        <v>2.9753499473854084</v>
      </c>
      <c r="D113" s="196">
        <f t="shared" si="52"/>
        <v>4.0095221713020788</v>
      </c>
      <c r="E113" s="196">
        <f t="shared" si="52"/>
        <v>5.1905556467094431</v>
      </c>
      <c r="F113" s="196">
        <f t="shared" si="52"/>
        <v>6.510000013268888</v>
      </c>
      <c r="G113" s="196">
        <f t="shared" si="52"/>
        <v>7.9840762970465082</v>
      </c>
      <c r="H113" s="196">
        <f t="shared" si="52"/>
        <v>9.6309065427670237</v>
      </c>
      <c r="I113" s="196">
        <f t="shared" si="52"/>
        <v>11.470736603169133</v>
      </c>
      <c r="J113" s="196">
        <f t="shared" si="52"/>
        <v>13.526185038097676</v>
      </c>
      <c r="K113" s="196">
        <f t="shared" si="52"/>
        <v>15.822521183256008</v>
      </c>
      <c r="L113" s="196">
        <f t="shared" si="52"/>
        <v>18.387975807148798</v>
      </c>
      <c r="M113" s="196">
        <f t="shared" si="52"/>
        <v>21.254088175379234</v>
      </c>
      <c r="N113" s="196">
        <f t="shared" si="50"/>
        <v>24.456093789050442</v>
      </c>
      <c r="O113" s="196"/>
      <c r="P113" s="213"/>
    </row>
    <row r="114" spans="1:16" ht="15.75">
      <c r="A114" s="209">
        <f t="shared" si="51"/>
        <v>2</v>
      </c>
      <c r="B114" s="196"/>
      <c r="C114" s="196"/>
      <c r="D114" s="196">
        <f t="shared" ref="D114:M114" si="53">MAX(D27-D77,(1/(1+$D$4))*(($D$11*E114+(1-$D$11)*E115)-((E114-E115)/((1+$D$9)-1/(1+$D$9)))*($D$5-$D$4)))</f>
        <v>2.0312158041181338</v>
      </c>
      <c r="E114" s="196">
        <f t="shared" si="53"/>
        <v>2.8323254093390431</v>
      </c>
      <c r="F114" s="196">
        <f t="shared" si="53"/>
        <v>3.8600429392911249</v>
      </c>
      <c r="G114" s="196">
        <f t="shared" si="53"/>
        <v>5.023558237489981</v>
      </c>
      <c r="H114" s="196">
        <f t="shared" si="53"/>
        <v>6.323431388913308</v>
      </c>
      <c r="I114" s="196">
        <f t="shared" si="53"/>
        <v>7.7756428144157077</v>
      </c>
      <c r="J114" s="196">
        <f t="shared" si="53"/>
        <v>9.3980457558492656</v>
      </c>
      <c r="K114" s="196">
        <f t="shared" si="53"/>
        <v>11.210585760801806</v>
      </c>
      <c r="L114" s="196">
        <f t="shared" si="53"/>
        <v>13.235545889788295</v>
      </c>
      <c r="M114" s="196">
        <f t="shared" si="53"/>
        <v>15.497820660431135</v>
      </c>
      <c r="N114" s="196">
        <f t="shared" si="50"/>
        <v>18.025222096452826</v>
      </c>
      <c r="O114" s="196"/>
      <c r="P114" s="213"/>
    </row>
    <row r="115" spans="1:16" ht="15.75">
      <c r="A115" s="209">
        <f t="shared" si="51"/>
        <v>3</v>
      </c>
      <c r="B115" s="196"/>
      <c r="C115" s="196"/>
      <c r="D115" s="196"/>
      <c r="E115" s="196">
        <f t="shared" ref="E115:M115" si="54">MAX(E28-E78,(1/(1+$D$4))*(($D$11*F115+(1-$D$11)*F116)-((F115-F116)/((1+$D$9)-1/(1+$D$9)))*($D$5-$D$4)))</f>
        <v>1.2985352100731251</v>
      </c>
      <c r="F115" s="196">
        <f t="shared" si="54"/>
        <v>1.8934845010313601</v>
      </c>
      <c r="G115" s="196">
        <f t="shared" si="54"/>
        <v>2.6891072993105589</v>
      </c>
      <c r="H115" s="196">
        <f t="shared" si="54"/>
        <v>3.7127809210424267</v>
      </c>
      <c r="I115" s="196">
        <f t="shared" si="54"/>
        <v>4.8590378877857532</v>
      </c>
      <c r="J115" s="196">
        <f t="shared" si="54"/>
        <v>6.1396301223770156</v>
      </c>
      <c r="K115" s="196">
        <f t="shared" si="54"/>
        <v>7.5703010093376157</v>
      </c>
      <c r="L115" s="196">
        <f t="shared" si="54"/>
        <v>9.1686389747789949</v>
      </c>
      <c r="M115" s="196">
        <f t="shared" si="54"/>
        <v>10.954293715540938</v>
      </c>
      <c r="N115" s="196">
        <f t="shared" si="50"/>
        <v>12.949217769243862</v>
      </c>
      <c r="O115" s="196"/>
      <c r="P115" s="213"/>
    </row>
    <row r="116" spans="1:16" ht="15.75">
      <c r="A116" s="209">
        <f t="shared" si="51"/>
        <v>4</v>
      </c>
      <c r="B116" s="196"/>
      <c r="C116" s="196"/>
      <c r="D116" s="196"/>
      <c r="E116" s="196"/>
      <c r="F116" s="196">
        <f t="shared" ref="F116:M116" si="55">MAX(F29-F79,(1/(1+$D$4))*(($D$11*G116+(1-$D$11)*G117)-((G116-G117)/((1+$D$9)-1/(1+$D$9)))*($D$5-$D$4)))</f>
        <v>0.75339379460911715</v>
      </c>
      <c r="G116" s="196">
        <f t="shared" si="55"/>
        <v>1.165225605869284</v>
      </c>
      <c r="H116" s="196">
        <f t="shared" si="55"/>
        <v>1.7533243876625899</v>
      </c>
      <c r="I116" s="196">
        <f t="shared" si="55"/>
        <v>2.5569084198049428</v>
      </c>
      <c r="J116" s="196">
        <f t="shared" si="55"/>
        <v>3.5677032287975887</v>
      </c>
      <c r="K116" s="196">
        <f t="shared" si="55"/>
        <v>4.6969578555666249</v>
      </c>
      <c r="L116" s="196">
        <f t="shared" si="55"/>
        <v>5.9585551656578275</v>
      </c>
      <c r="M116" s="196">
        <f t="shared" si="55"/>
        <v>7.3680050232007961</v>
      </c>
      <c r="N116" s="196">
        <f t="shared" si="50"/>
        <v>8.9426349665575096</v>
      </c>
      <c r="O116" s="196"/>
      <c r="P116" s="213"/>
    </row>
    <row r="117" spans="1:16" ht="15.75">
      <c r="A117" s="209">
        <f t="shared" si="51"/>
        <v>5</v>
      </c>
      <c r="B117" s="196"/>
      <c r="C117" s="196"/>
      <c r="D117" s="196"/>
      <c r="E117" s="196"/>
      <c r="F117" s="196"/>
      <c r="G117" s="196">
        <f t="shared" ref="G117:M117" si="56">MAX(G30-G80,(1/(1+$D$4))*(($D$11*H117+(1-$D$11)*H118)-((H117-H118)/((1+$D$9)-1/(1+$D$9)))*($D$5-$D$4)))</f>
        <v>0.3753389319035691</v>
      </c>
      <c r="H117" s="196">
        <f t="shared" si="56"/>
        <v>0.62579106192315459</v>
      </c>
      <c r="I117" s="196">
        <f t="shared" si="56"/>
        <v>1.0170119054155542</v>
      </c>
      <c r="J117" s="196">
        <f t="shared" si="56"/>
        <v>1.6020089077264039</v>
      </c>
      <c r="K117" s="196">
        <f t="shared" si="56"/>
        <v>2.428975694005814</v>
      </c>
      <c r="L117" s="196">
        <f t="shared" si="56"/>
        <v>3.4247774626197671</v>
      </c>
      <c r="M117" s="196">
        <f t="shared" si="56"/>
        <v>4.5372819437941239</v>
      </c>
      <c r="N117" s="196">
        <f t="shared" si="50"/>
        <v>5.7801660796153662</v>
      </c>
      <c r="O117" s="196"/>
      <c r="P117" s="213"/>
    </row>
    <row r="118" spans="1:16" ht="15.75">
      <c r="A118" s="209">
        <f t="shared" si="51"/>
        <v>6</v>
      </c>
      <c r="B118" s="196"/>
      <c r="C118" s="196"/>
      <c r="D118" s="196"/>
      <c r="E118" s="196"/>
      <c r="F118" s="196"/>
      <c r="G118" s="196"/>
      <c r="H118" s="196">
        <f t="shared" ref="H118:M118" si="57">MAX(H31-H81,(1/(1+$D$4))*(($D$11*I118+(1-$D$11)*I119)-((I118-I119)/((1+$D$9)-1/(1+$D$9)))*($D$5-$D$4)))</f>
        <v>0.1450289779098331</v>
      </c>
      <c r="I118" s="196">
        <f t="shared" si="57"/>
        <v>0.26622369456143713</v>
      </c>
      <c r="J118" s="196">
        <f t="shared" si="57"/>
        <v>0.47973813355909617</v>
      </c>
      <c r="K118" s="196">
        <f t="shared" si="57"/>
        <v>0.84329650440927117</v>
      </c>
      <c r="L118" s="196">
        <f t="shared" si="57"/>
        <v>1.4312726785889902</v>
      </c>
      <c r="M118" s="196">
        <f t="shared" si="57"/>
        <v>2.3029405843267909</v>
      </c>
      <c r="N118" s="196">
        <f t="shared" si="50"/>
        <v>3.2839717031578459</v>
      </c>
      <c r="O118" s="196"/>
      <c r="P118" s="213"/>
    </row>
    <row r="119" spans="1:16" ht="15.75">
      <c r="A119" s="209">
        <f t="shared" si="51"/>
        <v>7</v>
      </c>
      <c r="B119" s="196"/>
      <c r="C119" s="196"/>
      <c r="D119" s="196"/>
      <c r="E119" s="196"/>
      <c r="F119" s="196"/>
      <c r="G119" s="196"/>
      <c r="H119" s="196"/>
      <c r="I119" s="196">
        <f>MAX(I32-I82,(1/(1+$D$4))*(($D$11*J119+(1-$D$11)*J120)-((J119-J120)/((1+$D$9)-1/(1+$D$9)))*($D$5-$D$4)))</f>
        <v>3.3404838470879078E-2</v>
      </c>
      <c r="J119" s="196">
        <f>MAX(J32-J82,(1/(1+$D$4))*(($D$11*K119+(1-$D$11)*K120)-((K119-K120)/((1+$D$9)-1/(1+$D$9)))*($D$5-$D$4)))</f>
        <v>6.962182691350613E-2</v>
      </c>
      <c r="K119" s="196">
        <f>MAX(K32-K82,(1/(1+$D$4))*(($D$11*L119+(1-$D$11)*L120)-((L119-L120)/((1+$D$9)-1/(1+$D$9)))*($D$5-$D$4)))</f>
        <v>0.14510469155538019</v>
      </c>
      <c r="L119" s="196">
        <f>MAX(L32-L82,(1/(1+$D$4))*(($D$11*M119+(1-$D$11)*M120)-((M119-M120)/((1+$D$9)-1/(1+$D$9)))*($D$5-$D$4)))</f>
        <v>0.30242486365001475</v>
      </c>
      <c r="M119" s="196">
        <f>MAX(M32-M82,(1/(1+$D$4))*(($D$11*N119+(1-$D$11)*N120)-((N119-N120)/((1+$D$9)-1/(1+$D$9)))*($D$5-$D$4)))</f>
        <v>0.63030903531346816</v>
      </c>
      <c r="N119" s="196">
        <f t="shared" si="50"/>
        <v>1.3136799507912267</v>
      </c>
      <c r="O119" s="196"/>
      <c r="P119" s="213"/>
    </row>
    <row r="120" spans="1:16" ht="15.75">
      <c r="A120" s="209">
        <f t="shared" si="51"/>
        <v>8</v>
      </c>
      <c r="B120" s="196"/>
      <c r="C120" s="196"/>
      <c r="D120" s="196"/>
      <c r="E120" s="196"/>
      <c r="F120" s="196"/>
      <c r="G120" s="196"/>
      <c r="H120" s="196"/>
      <c r="I120" s="196"/>
      <c r="J120" s="196">
        <f>MAX(J33-J83,(1/(1+$D$4))*(($D$11*K120+(1-$D$11)*K121)-((K120-K121)/((1+$D$9)-1/(1+$D$9)))*($D$5-$D$4)))</f>
        <v>0</v>
      </c>
      <c r="K120" s="196">
        <f>MAX(K33-K83,(1/(1+$D$4))*(($D$11*L120+(1-$D$11)*L121)-((L120-L121)/((1+$D$9)-1/(1+$D$9)))*($D$5-$D$4)))</f>
        <v>0</v>
      </c>
      <c r="L120" s="196">
        <f>MAX(L33-L83,(1/(1+$D$4))*(($D$11*M120+(1-$D$11)*M121)-((M120-M121)/((1+$D$9)-1/(1+$D$9)))*($D$5-$D$4)))</f>
        <v>0</v>
      </c>
      <c r="M120" s="196">
        <f>MAX(M33-M83,(1/(1+$D$4))*(($D$11*N120+(1-$D$11)*N121)-((N120-N121)/((1+$D$9)-1/(1+$D$9)))*($D$5-$D$4)))</f>
        <v>0</v>
      </c>
      <c r="N120" s="196">
        <f t="shared" si="50"/>
        <v>0</v>
      </c>
      <c r="O120" s="196"/>
      <c r="P120" s="213"/>
    </row>
    <row r="121" spans="1:16" ht="15.75">
      <c r="A121" s="209">
        <f t="shared" si="51"/>
        <v>9</v>
      </c>
      <c r="B121" s="196"/>
      <c r="C121" s="196"/>
      <c r="D121" s="196"/>
      <c r="E121" s="196"/>
      <c r="F121" s="196"/>
      <c r="G121" s="196"/>
      <c r="H121" s="196"/>
      <c r="I121" s="196"/>
      <c r="J121" s="196"/>
      <c r="K121" s="196">
        <f>MAX(K34-K84,(1/(1+$D$4))*(($D$11*L121+(1-$D$11)*L122)-((L121-L122)/((1+$D$9)-1/(1+$D$9)))*($D$5-$D$4)))</f>
        <v>0</v>
      </c>
      <c r="L121" s="196">
        <f>MAX(L34-L84,(1/(1+$D$4))*(($D$11*M121+(1-$D$11)*M122)-((M121-M122)/((1+$D$9)-1/(1+$D$9)))*($D$5-$D$4)))</f>
        <v>0</v>
      </c>
      <c r="M121" s="196">
        <f>MAX(M34-M84,(1/(1+$D$4))*(($D$11*N121+(1-$D$11)*N122)-((N121-N122)/((1+$D$9)-1/(1+$D$9)))*($D$5-$D$4)))</f>
        <v>0</v>
      </c>
      <c r="N121" s="196">
        <f t="shared" si="50"/>
        <v>0</v>
      </c>
      <c r="O121" s="196"/>
      <c r="P121" s="213"/>
    </row>
    <row r="122" spans="1:16" ht="15.75">
      <c r="A122" s="209">
        <f t="shared" si="51"/>
        <v>10</v>
      </c>
      <c r="B122" s="196"/>
      <c r="C122" s="196"/>
      <c r="D122" s="196"/>
      <c r="E122" s="196"/>
      <c r="F122" s="196"/>
      <c r="G122" s="196"/>
      <c r="H122" s="196"/>
      <c r="I122" s="196"/>
      <c r="J122" s="196"/>
      <c r="K122" s="196"/>
      <c r="L122" s="196">
        <f>MAX(L35-L85,(1/(1+$D$4))*(($D$11*M122+(1-$D$11)*M123)-((M122-M123)/((1+$D$9)-1/(1+$D$9)))*($D$5-$D$4)))</f>
        <v>0</v>
      </c>
      <c r="M122" s="196">
        <f>MAX(M35-M85,(1/(1+$D$4))*(($D$11*N122+(1-$D$11)*N123)-((N122-N123)/((1+$D$9)-1/(1+$D$9)))*($D$5-$D$4)))</f>
        <v>0</v>
      </c>
      <c r="N122" s="196">
        <f t="shared" si="50"/>
        <v>0</v>
      </c>
      <c r="O122" s="196"/>
      <c r="P122" s="213"/>
    </row>
    <row r="123" spans="1:16" ht="15.75">
      <c r="A123" s="209">
        <f t="shared" si="51"/>
        <v>11</v>
      </c>
      <c r="B123" s="196"/>
      <c r="C123" s="196"/>
      <c r="D123" s="196"/>
      <c r="E123" s="196"/>
      <c r="F123" s="196"/>
      <c r="G123" s="196"/>
      <c r="H123" s="196"/>
      <c r="I123" s="196"/>
      <c r="J123" s="196"/>
      <c r="K123" s="196"/>
      <c r="L123" s="196"/>
      <c r="M123" s="196">
        <f>MAX(M36-M86,(1/(1+$D$4))*(($D$11*N123+(1-$D$11)*N124)-((N123-N124)/((1+$D$9)-1/(1+$D$9)))*($D$5-$D$4)))</f>
        <v>0</v>
      </c>
      <c r="N123" s="196">
        <f t="shared" si="50"/>
        <v>0</v>
      </c>
      <c r="O123" s="196"/>
      <c r="P123" s="213"/>
    </row>
    <row r="124" spans="1:16" ht="15.75">
      <c r="A124" s="209">
        <f t="shared" si="51"/>
        <v>12</v>
      </c>
      <c r="B124" s="196"/>
      <c r="C124" s="196"/>
      <c r="D124" s="196"/>
      <c r="E124" s="196"/>
      <c r="F124" s="196"/>
      <c r="G124" s="196"/>
      <c r="H124" s="196"/>
      <c r="I124" s="196"/>
      <c r="J124" s="196"/>
      <c r="K124" s="196"/>
      <c r="L124" s="196"/>
      <c r="M124" s="196"/>
      <c r="N124" s="196">
        <f t="shared" si="50"/>
        <v>0</v>
      </c>
      <c r="O124" s="196"/>
      <c r="P124" s="213"/>
    </row>
    <row r="125" spans="1:16" ht="15.75">
      <c r="A125" s="209"/>
      <c r="B125" s="196"/>
      <c r="C125" s="196"/>
      <c r="D125" s="196"/>
      <c r="E125" s="196"/>
      <c r="F125" s="196"/>
      <c r="G125" s="196"/>
      <c r="H125" s="196"/>
      <c r="I125" s="196"/>
      <c r="J125" s="196"/>
      <c r="K125" s="196"/>
      <c r="L125" s="196"/>
      <c r="M125" s="196"/>
      <c r="N125" s="196"/>
      <c r="O125" s="196"/>
      <c r="P125" s="213"/>
    </row>
    <row r="126" spans="1:16">
      <c r="A126" s="137" t="s">
        <v>156</v>
      </c>
      <c r="P126" s="234"/>
    </row>
    <row r="127" spans="1:16" ht="15.75">
      <c r="A127" s="288" t="s">
        <v>161</v>
      </c>
      <c r="B127" s="185"/>
      <c r="C127" s="185"/>
      <c r="D127" s="185"/>
      <c r="E127" s="185"/>
      <c r="F127" s="185"/>
      <c r="G127" s="185"/>
      <c r="H127" s="185"/>
      <c r="I127" s="185"/>
      <c r="J127" s="185"/>
      <c r="K127" s="185"/>
      <c r="L127" s="185"/>
      <c r="M127" s="185"/>
      <c r="N127" s="217"/>
      <c r="O127" s="217"/>
      <c r="P127" s="234"/>
    </row>
    <row r="128" spans="1:16" ht="15.75">
      <c r="A128" s="289" t="s">
        <v>173</v>
      </c>
      <c r="B128" s="185">
        <v>0</v>
      </c>
      <c r="C128" s="185">
        <v>1</v>
      </c>
      <c r="D128" s="185">
        <v>2</v>
      </c>
      <c r="E128" s="185">
        <v>3</v>
      </c>
      <c r="F128" s="185">
        <v>4</v>
      </c>
      <c r="G128" s="185">
        <v>5</v>
      </c>
      <c r="H128" s="185">
        <v>6</v>
      </c>
      <c r="I128" s="185">
        <v>7</v>
      </c>
      <c r="J128" s="185">
        <v>8</v>
      </c>
      <c r="K128" s="185">
        <v>9</v>
      </c>
      <c r="L128" s="185">
        <v>10</v>
      </c>
      <c r="M128" s="185">
        <v>11</v>
      </c>
      <c r="N128" s="274" t="s">
        <v>174</v>
      </c>
      <c r="O128" s="185"/>
    </row>
    <row r="129" spans="1:16" ht="15.75">
      <c r="A129" s="209" t="s">
        <v>10</v>
      </c>
      <c r="B129" s="185"/>
      <c r="C129" s="185"/>
      <c r="D129" s="185"/>
      <c r="E129" s="185"/>
      <c r="F129" s="185"/>
      <c r="G129" s="185"/>
      <c r="H129" s="185"/>
      <c r="I129" s="185"/>
      <c r="J129" s="185"/>
      <c r="K129" s="185"/>
      <c r="L129" s="185"/>
      <c r="M129" s="185"/>
      <c r="N129" s="185"/>
      <c r="O129" s="185"/>
    </row>
    <row r="130" spans="1:16" ht="15.75">
      <c r="A130" s="209">
        <v>0</v>
      </c>
      <c r="B130" s="217" t="str">
        <f t="shared" ref="B130:N130" si="58">IF(B112=B25-B75,"exer","hold")</f>
        <v>exer</v>
      </c>
      <c r="C130" s="217" t="str">
        <f t="shared" si="58"/>
        <v>exer</v>
      </c>
      <c r="D130" s="217" t="str">
        <f t="shared" si="58"/>
        <v>exer</v>
      </c>
      <c r="E130" s="217" t="str">
        <f t="shared" si="58"/>
        <v>exer</v>
      </c>
      <c r="F130" s="217" t="str">
        <f t="shared" si="58"/>
        <v>exer</v>
      </c>
      <c r="G130" s="217" t="str">
        <f t="shared" si="58"/>
        <v>exer</v>
      </c>
      <c r="H130" s="217" t="str">
        <f t="shared" si="58"/>
        <v>exer</v>
      </c>
      <c r="I130" s="217" t="str">
        <f t="shared" si="58"/>
        <v>exer</v>
      </c>
      <c r="J130" s="217" t="str">
        <f t="shared" si="58"/>
        <v>exer</v>
      </c>
      <c r="K130" s="217" t="str">
        <f t="shared" si="58"/>
        <v>exer</v>
      </c>
      <c r="L130" s="217" t="str">
        <f t="shared" si="58"/>
        <v>exer</v>
      </c>
      <c r="M130" s="217" t="str">
        <f t="shared" si="58"/>
        <v>exer</v>
      </c>
      <c r="N130" s="217" t="str">
        <f t="shared" si="58"/>
        <v>exer</v>
      </c>
      <c r="O130" s="217"/>
      <c r="P130" s="186"/>
    </row>
    <row r="131" spans="1:16" ht="15.75">
      <c r="A131" s="209">
        <f t="shared" ref="A131:A142" si="59">1+A130</f>
        <v>1</v>
      </c>
      <c r="B131" s="217"/>
      <c r="C131" s="217" t="str">
        <f t="shared" ref="C131:N131" si="60">IF(C113=C26-C76,"exer","hold")</f>
        <v>hold</v>
      </c>
      <c r="D131" s="217" t="str">
        <f t="shared" si="60"/>
        <v>exer</v>
      </c>
      <c r="E131" s="217" t="str">
        <f t="shared" si="60"/>
        <v>exer</v>
      </c>
      <c r="F131" s="217" t="str">
        <f t="shared" si="60"/>
        <v>exer</v>
      </c>
      <c r="G131" s="217" t="str">
        <f t="shared" si="60"/>
        <v>exer</v>
      </c>
      <c r="H131" s="217" t="str">
        <f t="shared" si="60"/>
        <v>exer</v>
      </c>
      <c r="I131" s="217" t="str">
        <f t="shared" si="60"/>
        <v>exer</v>
      </c>
      <c r="J131" s="217" t="str">
        <f t="shared" si="60"/>
        <v>exer</v>
      </c>
      <c r="K131" s="217" t="str">
        <f t="shared" si="60"/>
        <v>exer</v>
      </c>
      <c r="L131" s="217" t="str">
        <f t="shared" si="60"/>
        <v>exer</v>
      </c>
      <c r="M131" s="217" t="str">
        <f t="shared" si="60"/>
        <v>exer</v>
      </c>
      <c r="N131" s="217" t="str">
        <f t="shared" si="60"/>
        <v>exer</v>
      </c>
      <c r="O131" s="217"/>
      <c r="P131" s="186"/>
    </row>
    <row r="132" spans="1:16" ht="15.75">
      <c r="A132" s="209">
        <f t="shared" si="59"/>
        <v>2</v>
      </c>
      <c r="B132" s="217"/>
      <c r="C132" s="217"/>
      <c r="D132" s="217" t="str">
        <f t="shared" ref="D132:N132" si="61">IF(D114=D27-D77,"exer","hold")</f>
        <v>hold</v>
      </c>
      <c r="E132" s="217" t="str">
        <f t="shared" si="61"/>
        <v>hold</v>
      </c>
      <c r="F132" s="217" t="str">
        <f t="shared" si="61"/>
        <v>exer</v>
      </c>
      <c r="G132" s="217" t="str">
        <f t="shared" si="61"/>
        <v>exer</v>
      </c>
      <c r="H132" s="217" t="str">
        <f t="shared" si="61"/>
        <v>exer</v>
      </c>
      <c r="I132" s="217" t="str">
        <f t="shared" si="61"/>
        <v>exer</v>
      </c>
      <c r="J132" s="217" t="str">
        <f t="shared" si="61"/>
        <v>exer</v>
      </c>
      <c r="K132" s="217" t="str">
        <f t="shared" si="61"/>
        <v>exer</v>
      </c>
      <c r="L132" s="217" t="str">
        <f t="shared" si="61"/>
        <v>exer</v>
      </c>
      <c r="M132" s="217" t="str">
        <f t="shared" si="61"/>
        <v>exer</v>
      </c>
      <c r="N132" s="217" t="str">
        <f t="shared" si="61"/>
        <v>exer</v>
      </c>
      <c r="O132" s="217"/>
      <c r="P132" s="186"/>
    </row>
    <row r="133" spans="1:16" ht="15.75">
      <c r="A133" s="209">
        <f t="shared" si="59"/>
        <v>3</v>
      </c>
      <c r="B133" s="217"/>
      <c r="C133" s="217"/>
      <c r="D133" s="217"/>
      <c r="E133" s="217" t="str">
        <f t="shared" ref="E133:N133" si="62">IF(E115=E28-E78,"exer","hold")</f>
        <v>hold</v>
      </c>
      <c r="F133" s="217" t="str">
        <f t="shared" si="62"/>
        <v>hold</v>
      </c>
      <c r="G133" s="217" t="str">
        <f t="shared" si="62"/>
        <v>hold</v>
      </c>
      <c r="H133" s="217" t="str">
        <f t="shared" si="62"/>
        <v>exer</v>
      </c>
      <c r="I133" s="217" t="str">
        <f t="shared" si="62"/>
        <v>exer</v>
      </c>
      <c r="J133" s="217" t="str">
        <f t="shared" si="62"/>
        <v>exer</v>
      </c>
      <c r="K133" s="217" t="str">
        <f t="shared" si="62"/>
        <v>exer</v>
      </c>
      <c r="L133" s="217" t="str">
        <f t="shared" si="62"/>
        <v>exer</v>
      </c>
      <c r="M133" s="217" t="str">
        <f t="shared" si="62"/>
        <v>exer</v>
      </c>
      <c r="N133" s="217" t="str">
        <f t="shared" si="62"/>
        <v>exer</v>
      </c>
      <c r="O133" s="217"/>
      <c r="P133" s="186"/>
    </row>
    <row r="134" spans="1:16" ht="15.75">
      <c r="A134" s="209">
        <f t="shared" si="59"/>
        <v>4</v>
      </c>
      <c r="B134" s="217"/>
      <c r="C134" s="217"/>
      <c r="D134" s="217"/>
      <c r="E134" s="217"/>
      <c r="F134" s="217" t="str">
        <f t="shared" ref="F134:N134" si="63">IF(F116=F29-F79,"exer","hold")</f>
        <v>hold</v>
      </c>
      <c r="G134" s="217" t="str">
        <f t="shared" si="63"/>
        <v>hold</v>
      </c>
      <c r="H134" s="217" t="str">
        <f t="shared" si="63"/>
        <v>hold</v>
      </c>
      <c r="I134" s="217" t="str">
        <f t="shared" si="63"/>
        <v>exer</v>
      </c>
      <c r="J134" s="217" t="str">
        <f t="shared" si="63"/>
        <v>exer</v>
      </c>
      <c r="K134" s="217" t="str">
        <f t="shared" si="63"/>
        <v>exer</v>
      </c>
      <c r="L134" s="217" t="str">
        <f t="shared" si="63"/>
        <v>exer</v>
      </c>
      <c r="M134" s="217" t="str">
        <f t="shared" si="63"/>
        <v>exer</v>
      </c>
      <c r="N134" s="217" t="str">
        <f t="shared" si="63"/>
        <v>exer</v>
      </c>
      <c r="O134" s="217"/>
      <c r="P134" s="186"/>
    </row>
    <row r="135" spans="1:16" ht="15.75">
      <c r="A135" s="209">
        <f t="shared" si="59"/>
        <v>5</v>
      </c>
      <c r="B135" s="217"/>
      <c r="C135" s="217"/>
      <c r="D135" s="217"/>
      <c r="E135" s="217"/>
      <c r="F135" s="217"/>
      <c r="G135" s="217" t="str">
        <f t="shared" ref="G135:N135" si="64">IF(G117=G30-G80,"exer","hold")</f>
        <v>hold</v>
      </c>
      <c r="H135" s="217" t="str">
        <f t="shared" si="64"/>
        <v>hold</v>
      </c>
      <c r="I135" s="217" t="str">
        <f t="shared" si="64"/>
        <v>hold</v>
      </c>
      <c r="J135" s="217" t="str">
        <f t="shared" si="64"/>
        <v>hold</v>
      </c>
      <c r="K135" s="217" t="str">
        <f t="shared" si="64"/>
        <v>exer</v>
      </c>
      <c r="L135" s="217" t="str">
        <f t="shared" si="64"/>
        <v>exer</v>
      </c>
      <c r="M135" s="217" t="str">
        <f t="shared" si="64"/>
        <v>exer</v>
      </c>
      <c r="N135" s="217" t="str">
        <f t="shared" si="64"/>
        <v>exer</v>
      </c>
      <c r="O135" s="217"/>
      <c r="P135" s="186"/>
    </row>
    <row r="136" spans="1:16" ht="15.75">
      <c r="A136" s="209">
        <f t="shared" si="59"/>
        <v>6</v>
      </c>
      <c r="B136" s="217"/>
      <c r="C136" s="217"/>
      <c r="D136" s="217"/>
      <c r="E136" s="217"/>
      <c r="F136" s="217"/>
      <c r="G136" s="217"/>
      <c r="H136" s="217" t="str">
        <f t="shared" ref="H136:N136" si="65">IF(H118=H31-H81,"exer","hold")</f>
        <v>hold</v>
      </c>
      <c r="I136" s="217" t="str">
        <f t="shared" si="65"/>
        <v>hold</v>
      </c>
      <c r="J136" s="217" t="str">
        <f t="shared" si="65"/>
        <v>hold</v>
      </c>
      <c r="K136" s="217" t="str">
        <f t="shared" si="65"/>
        <v>hold</v>
      </c>
      <c r="L136" s="217" t="str">
        <f t="shared" si="65"/>
        <v>hold</v>
      </c>
      <c r="M136" s="217" t="str">
        <f t="shared" si="65"/>
        <v>exer</v>
      </c>
      <c r="N136" s="217" t="str">
        <f t="shared" si="65"/>
        <v>exer</v>
      </c>
      <c r="O136" s="217"/>
      <c r="P136" s="186"/>
    </row>
    <row r="137" spans="1:16" ht="15.75">
      <c r="A137" s="209">
        <f t="shared" si="59"/>
        <v>7</v>
      </c>
      <c r="B137" s="217"/>
      <c r="C137" s="217"/>
      <c r="D137" s="217"/>
      <c r="E137" s="217"/>
      <c r="F137" s="217"/>
      <c r="G137" s="217"/>
      <c r="H137" s="217"/>
      <c r="I137" s="217" t="str">
        <f t="shared" ref="I137:N137" si="66">IF(I119=I32-I82,"exer","hold")</f>
        <v>hold</v>
      </c>
      <c r="J137" s="217" t="str">
        <f t="shared" si="66"/>
        <v>hold</v>
      </c>
      <c r="K137" s="217" t="str">
        <f t="shared" si="66"/>
        <v>hold</v>
      </c>
      <c r="L137" s="217" t="str">
        <f t="shared" si="66"/>
        <v>hold</v>
      </c>
      <c r="M137" s="217" t="str">
        <f t="shared" si="66"/>
        <v>hold</v>
      </c>
      <c r="N137" s="217" t="str">
        <f t="shared" si="66"/>
        <v>exer</v>
      </c>
      <c r="O137" s="217"/>
      <c r="P137" s="186"/>
    </row>
    <row r="138" spans="1:16" ht="15.75">
      <c r="A138" s="209">
        <f t="shared" si="59"/>
        <v>8</v>
      </c>
      <c r="B138" s="217"/>
      <c r="C138" s="217"/>
      <c r="D138" s="217"/>
      <c r="E138" s="217"/>
      <c r="F138" s="217"/>
      <c r="G138" s="217"/>
      <c r="H138" s="217"/>
      <c r="I138" s="217"/>
      <c r="J138" s="217" t="str">
        <f>IF(J120=J33-J83,"exer","hold")</f>
        <v>hold</v>
      </c>
      <c r="K138" s="217" t="str">
        <f>IF(K120=K33-K83,"exer","hold")</f>
        <v>hold</v>
      </c>
      <c r="L138" s="217" t="str">
        <f>IF(L120=L33-L83,"exer","hold")</f>
        <v>hold</v>
      </c>
      <c r="M138" s="217" t="str">
        <f>IF(M120=M33-M83,"exer","hold")</f>
        <v>hold</v>
      </c>
      <c r="N138" s="217" t="str">
        <f>IF(N120=N33-N83,"exer","hold")</f>
        <v>hold</v>
      </c>
      <c r="O138" s="217"/>
      <c r="P138" s="186"/>
    </row>
    <row r="139" spans="1:16" ht="15.75">
      <c r="A139" s="209">
        <f t="shared" si="59"/>
        <v>9</v>
      </c>
      <c r="B139" s="217"/>
      <c r="C139" s="217"/>
      <c r="D139" s="217"/>
      <c r="E139" s="217"/>
      <c r="F139" s="217"/>
      <c r="G139" s="217"/>
      <c r="H139" s="217"/>
      <c r="I139" s="217"/>
      <c r="J139" s="217"/>
      <c r="K139" s="217" t="str">
        <f>IF(K121=K34-K84,"exer","hold")</f>
        <v>hold</v>
      </c>
      <c r="L139" s="217" t="str">
        <f>IF(L121=L34-L84,"exer","hold")</f>
        <v>hold</v>
      </c>
      <c r="M139" s="217" t="str">
        <f>IF(M121=M34-M84,"exer","hold")</f>
        <v>hold</v>
      </c>
      <c r="N139" s="217" t="str">
        <f>IF(N121=N34-N84,"exer","hold")</f>
        <v>hold</v>
      </c>
      <c r="O139" s="217"/>
      <c r="P139" s="186"/>
    </row>
    <row r="140" spans="1:16" ht="15.75">
      <c r="A140" s="209">
        <f t="shared" si="59"/>
        <v>10</v>
      </c>
      <c r="B140" s="217"/>
      <c r="C140" s="217"/>
      <c r="D140" s="217"/>
      <c r="E140" s="217"/>
      <c r="F140" s="217"/>
      <c r="G140" s="217"/>
      <c r="H140" s="217"/>
      <c r="I140" s="217"/>
      <c r="J140" s="217"/>
      <c r="K140" s="217"/>
      <c r="L140" s="217" t="str">
        <f>IF(L122=L35-L85,"exer","hold")</f>
        <v>hold</v>
      </c>
      <c r="M140" s="217" t="str">
        <f>IF(M122=M35-M85,"exer","hold")</f>
        <v>hold</v>
      </c>
      <c r="N140" s="217" t="str">
        <f>IF(N122=N35-N85,"exer","hold")</f>
        <v>hold</v>
      </c>
      <c r="O140" s="217"/>
      <c r="P140" s="186"/>
    </row>
    <row r="141" spans="1:16" ht="15.75">
      <c r="A141" s="209">
        <f t="shared" si="59"/>
        <v>11</v>
      </c>
      <c r="B141" s="217"/>
      <c r="C141" s="217"/>
      <c r="D141" s="217"/>
      <c r="E141" s="217"/>
      <c r="F141" s="217"/>
      <c r="G141" s="217"/>
      <c r="H141" s="217"/>
      <c r="I141" s="217"/>
      <c r="J141" s="217"/>
      <c r="K141" s="217"/>
      <c r="L141" s="217"/>
      <c r="M141" s="217" t="str">
        <f>IF(M123=M36-M86,"exer","hold")</f>
        <v>hold</v>
      </c>
      <c r="N141" s="217" t="str">
        <f>IF(N123=N36-N86,"exer","hold")</f>
        <v>hold</v>
      </c>
      <c r="O141" s="217"/>
      <c r="P141" s="186"/>
    </row>
    <row r="142" spans="1:16" ht="15.75">
      <c r="A142" s="209">
        <f t="shared" si="59"/>
        <v>12</v>
      </c>
      <c r="B142" s="217"/>
      <c r="C142" s="217"/>
      <c r="D142" s="217"/>
      <c r="E142" s="217"/>
      <c r="F142" s="217"/>
      <c r="G142" s="217"/>
      <c r="H142" s="217"/>
      <c r="I142" s="217"/>
      <c r="J142" s="217"/>
      <c r="K142" s="217"/>
      <c r="L142" s="217"/>
      <c r="M142" s="217"/>
      <c r="N142" s="217" t="str">
        <f>IF(N124=N37-N87,"exer","hold")</f>
        <v>hold</v>
      </c>
      <c r="O142" s="217"/>
      <c r="P142" s="186"/>
    </row>
    <row r="144" spans="1:16">
      <c r="B144" s="137" t="s">
        <v>69</v>
      </c>
      <c r="P144" s="213"/>
    </row>
    <row r="145" spans="1:16">
      <c r="B145" s="137" t="s">
        <v>8</v>
      </c>
      <c r="P145" s="213"/>
    </row>
    <row r="146" spans="1:16">
      <c r="B146" s="235" t="s">
        <v>9</v>
      </c>
      <c r="P146" s="213"/>
    </row>
    <row r="147" spans="1:16" ht="15.75">
      <c r="B147" s="185" t="s">
        <v>11</v>
      </c>
      <c r="C147" s="185"/>
      <c r="D147" s="185"/>
      <c r="E147" s="185"/>
      <c r="F147" s="185"/>
      <c r="G147" s="185"/>
      <c r="H147" s="185"/>
      <c r="I147" s="185"/>
      <c r="J147" s="185"/>
      <c r="K147" s="185"/>
      <c r="L147" s="185"/>
      <c r="M147" s="185"/>
    </row>
    <row r="148" spans="1:16" ht="15.75">
      <c r="A148" s="288" t="s">
        <v>161</v>
      </c>
      <c r="B148" s="185">
        <v>0</v>
      </c>
      <c r="C148" s="185">
        <v>1</v>
      </c>
      <c r="D148" s="185">
        <v>2</v>
      </c>
      <c r="E148" s="185">
        <v>3</v>
      </c>
      <c r="F148" s="185">
        <v>4</v>
      </c>
      <c r="G148" s="185">
        <v>5</v>
      </c>
      <c r="H148" s="185">
        <v>6</v>
      </c>
      <c r="I148" s="185">
        <v>7</v>
      </c>
      <c r="J148" s="185">
        <v>8</v>
      </c>
      <c r="K148" s="185">
        <v>9</v>
      </c>
      <c r="L148" s="185">
        <v>10</v>
      </c>
      <c r="M148" s="185">
        <v>11</v>
      </c>
    </row>
    <row r="149" spans="1:16" ht="15.75">
      <c r="A149" s="209" t="s">
        <v>10</v>
      </c>
      <c r="B149" s="185" t="s">
        <v>28</v>
      </c>
      <c r="C149" s="185"/>
      <c r="D149" s="185"/>
      <c r="E149" s="185"/>
      <c r="F149" s="185"/>
      <c r="G149" s="185"/>
      <c r="H149" s="185"/>
      <c r="I149" s="185"/>
      <c r="J149" s="185"/>
      <c r="K149" s="185"/>
      <c r="L149" s="185"/>
      <c r="M149" s="185"/>
    </row>
    <row r="150" spans="1:16" ht="15.75">
      <c r="A150" s="209">
        <v>0</v>
      </c>
      <c r="B150" s="218">
        <f t="shared" ref="B150:M150" si="67">IF(C112&gt;0,(1+$D$4)*(($D$11*C112+(1-$D$11)*C113)/(($D$11*C112+(1-$D$11)*C113)-((C112-C113)/((1+$D$9)-1/(1+$D$9))*($D$5-$D$4))))-1,"NA")</f>
        <v>1.4727551819811557E-2</v>
      </c>
      <c r="C150" s="218">
        <f t="shared" si="67"/>
        <v>1.3220918159234429E-2</v>
      </c>
      <c r="D150" s="218">
        <f t="shared" si="67"/>
        <v>1.2072027142403741E-2</v>
      </c>
      <c r="E150" s="218">
        <f t="shared" si="67"/>
        <v>1.123422344016678E-2</v>
      </c>
      <c r="F150" s="218">
        <f t="shared" si="67"/>
        <v>1.0599658347064E-2</v>
      </c>
      <c r="G150" s="218">
        <f t="shared" si="67"/>
        <v>1.0105088882656821E-2</v>
      </c>
      <c r="H150" s="218">
        <f t="shared" si="67"/>
        <v>9.7109715757781601E-3</v>
      </c>
      <c r="I150" s="218">
        <f t="shared" si="67"/>
        <v>9.3913074062281776E-3</v>
      </c>
      <c r="J150" s="218">
        <f t="shared" si="67"/>
        <v>9.1282968086774385E-3</v>
      </c>
      <c r="K150" s="218">
        <f t="shared" si="67"/>
        <v>8.9093411676399725E-3</v>
      </c>
      <c r="L150" s="218">
        <f t="shared" si="67"/>
        <v>8.7252709302123588E-3</v>
      </c>
      <c r="M150" s="218">
        <f t="shared" si="67"/>
        <v>8.5692522866429588E-3</v>
      </c>
      <c r="N150" s="236"/>
      <c r="O150" s="236"/>
      <c r="P150" s="188"/>
    </row>
    <row r="151" spans="1:16" ht="15.75">
      <c r="A151" s="209">
        <f t="shared" ref="A151:A162" si="68">1+A150</f>
        <v>1</v>
      </c>
      <c r="B151" s="185"/>
      <c r="C151" s="218">
        <f t="shared" ref="C151:M151" si="69">IF(D113&gt;0,(1+$D$4)*(($D$11*D113+(1-$D$11)*D114)/(($D$11*D113+(1-$D$11)*D114)-((D113-D114)/((1+$D$9)-1/(1+$D$9))*($D$5-$D$4))))-1,"NA")</f>
        <v>1.6519245220871781E-2</v>
      </c>
      <c r="D151" s="218">
        <f t="shared" si="69"/>
        <v>1.506656669542128E-2</v>
      </c>
      <c r="E151" s="218">
        <f t="shared" si="69"/>
        <v>1.3408846103470928E-2</v>
      </c>
      <c r="F151" s="218">
        <f t="shared" si="69"/>
        <v>1.2205649838962218E-2</v>
      </c>
      <c r="G151" s="218">
        <f t="shared" si="69"/>
        <v>1.1333553930328533E-2</v>
      </c>
      <c r="H151" s="218">
        <f t="shared" si="69"/>
        <v>1.0675971608574475E-2</v>
      </c>
      <c r="I151" s="218">
        <f t="shared" si="69"/>
        <v>1.0165219261597747E-2</v>
      </c>
      <c r="J151" s="218">
        <f t="shared" si="69"/>
        <v>9.7593024738205081E-3</v>
      </c>
      <c r="K151" s="218">
        <f t="shared" si="69"/>
        <v>9.4307795781101156E-3</v>
      </c>
      <c r="L151" s="218">
        <f t="shared" si="69"/>
        <v>9.1609568707904376E-3</v>
      </c>
      <c r="M151" s="218">
        <f t="shared" si="69"/>
        <v>8.9366575608604837E-3</v>
      </c>
      <c r="N151" s="236"/>
      <c r="O151" s="236"/>
      <c r="P151" s="188"/>
    </row>
    <row r="152" spans="1:16" ht="15.75">
      <c r="A152" s="209">
        <f t="shared" si="68"/>
        <v>2</v>
      </c>
      <c r="B152" s="185"/>
      <c r="C152" s="185"/>
      <c r="D152" s="218">
        <f t="shared" ref="D152:M152" si="70">IF(E114&gt;0,(1+$D$4)*(($D$11*E114+(1-$D$11)*E115)/(($D$11*E114+(1-$D$11)*E115)-((E114-E115)/((1+$D$9)-1/(1+$D$9))*($D$5-$D$4))))-1,"NA")</f>
        <v>1.8421318408564202E-2</v>
      </c>
      <c r="E152" s="218">
        <f t="shared" si="70"/>
        <v>1.7139722491313014E-2</v>
      </c>
      <c r="F152" s="218">
        <f t="shared" si="70"/>
        <v>1.5444548242883549E-2</v>
      </c>
      <c r="G152" s="218">
        <f t="shared" si="70"/>
        <v>1.3606463551936177E-2</v>
      </c>
      <c r="H152" s="218">
        <f t="shared" si="70"/>
        <v>1.2345154577430906E-2</v>
      </c>
      <c r="I152" s="218">
        <f t="shared" si="70"/>
        <v>1.1436717514100803E-2</v>
      </c>
      <c r="J152" s="218">
        <f t="shared" si="70"/>
        <v>1.0754918716608719E-2</v>
      </c>
      <c r="K152" s="218">
        <f t="shared" si="70"/>
        <v>1.0227235281767166E-2</v>
      </c>
      <c r="L152" s="218">
        <f t="shared" si="70"/>
        <v>9.809028164748046E-3</v>
      </c>
      <c r="M152" s="218">
        <f t="shared" si="70"/>
        <v>9.4713111997362098E-3</v>
      </c>
      <c r="N152" s="236"/>
      <c r="O152" s="236"/>
      <c r="P152" s="188"/>
    </row>
    <row r="153" spans="1:16" ht="15.75">
      <c r="A153" s="209">
        <f t="shared" si="68"/>
        <v>3</v>
      </c>
      <c r="B153" s="185"/>
      <c r="C153" s="185"/>
      <c r="D153" s="185"/>
      <c r="E153" s="218">
        <f t="shared" ref="E153:M153" si="71">IF(F115&gt;0,(1+$D$4)*(($D$11*F115+(1-$D$11)*F116)/(($D$11*F115+(1-$D$11)*F116)-((F115-F116)/((1+$D$9)-1/(1+$D$9))*($D$5-$D$4))))-1,"NA")</f>
        <v>2.1012062668386955E-2</v>
      </c>
      <c r="F153" s="218">
        <f t="shared" si="71"/>
        <v>1.9469093151198047E-2</v>
      </c>
      <c r="G153" s="218">
        <f t="shared" si="71"/>
        <v>1.7863729028171127E-2</v>
      </c>
      <c r="H153" s="218">
        <f t="shared" si="71"/>
        <v>1.5780035300267503E-2</v>
      </c>
      <c r="I153" s="218">
        <f t="shared" si="71"/>
        <v>1.3814515869619015E-2</v>
      </c>
      <c r="J153" s="218">
        <f t="shared" si="71"/>
        <v>1.2490921844613423E-2</v>
      </c>
      <c r="K153" s="218">
        <f t="shared" si="71"/>
        <v>1.1543928224154509E-2</v>
      </c>
      <c r="L153" s="218">
        <f t="shared" si="71"/>
        <v>1.0836629136553366E-2</v>
      </c>
      <c r="M153" s="218">
        <f t="shared" si="71"/>
        <v>1.0291219795819595E-2</v>
      </c>
      <c r="N153" s="236"/>
      <c r="O153" s="236"/>
      <c r="P153" s="188"/>
    </row>
    <row r="154" spans="1:16" ht="15.75">
      <c r="A154" s="209">
        <f t="shared" si="68"/>
        <v>4</v>
      </c>
      <c r="B154" s="185"/>
      <c r="C154" s="185"/>
      <c r="D154" s="185"/>
      <c r="E154" s="185"/>
      <c r="F154" s="218">
        <f t="shared" ref="F154:M154" si="72">IF(G116&gt;0,(1+$D$4)*(($D$11*G116+(1-$D$11)*G117)/(($D$11*G116+(1-$D$11)*G117)-((G116-G117)/((1+$D$9)-1/(1+$D$9))*($D$5-$D$4))))-1,"NA")</f>
        <v>2.4606087497088147E-2</v>
      </c>
      <c r="G154" s="218">
        <f t="shared" si="72"/>
        <v>2.2902740395539967E-2</v>
      </c>
      <c r="H154" s="218">
        <f t="shared" si="72"/>
        <v>2.1018184160252806E-2</v>
      </c>
      <c r="I154" s="218">
        <f t="shared" si="72"/>
        <v>1.8809954641035409E-2</v>
      </c>
      <c r="J154" s="218">
        <f t="shared" si="72"/>
        <v>1.6119616693977878E-2</v>
      </c>
      <c r="K154" s="218">
        <f t="shared" si="72"/>
        <v>1.4033826810404104E-2</v>
      </c>
      <c r="L154" s="218">
        <f t="shared" si="72"/>
        <v>1.264336560796675E-2</v>
      </c>
      <c r="M154" s="218">
        <f t="shared" si="72"/>
        <v>1.1655416281337372E-2</v>
      </c>
      <c r="N154" s="236"/>
      <c r="O154" s="236"/>
      <c r="P154" s="188"/>
    </row>
    <row r="155" spans="1:16" ht="15.75">
      <c r="A155" s="209">
        <f t="shared" si="68"/>
        <v>5</v>
      </c>
      <c r="B155" s="185"/>
      <c r="C155" s="185"/>
      <c r="D155" s="185"/>
      <c r="E155" s="185"/>
      <c r="F155" s="185"/>
      <c r="G155" s="218">
        <f t="shared" ref="G155:M155" si="73">IF(H117&gt;0,(1+$D$4)*(($D$11*H117+(1-$D$11)*H118)/(($D$11*H117+(1-$D$11)*H118)-((H117-H118)/((1+$D$9)-1/(1+$D$9))*($D$5-$D$4))))-1,"NA")</f>
        <v>2.9506961899271378E-2</v>
      </c>
      <c r="H155" s="218">
        <f t="shared" si="73"/>
        <v>2.779631293071616E-2</v>
      </c>
      <c r="I155" s="218">
        <f t="shared" si="73"/>
        <v>2.5767019446547579E-2</v>
      </c>
      <c r="J155" s="218">
        <f t="shared" si="73"/>
        <v>2.3369860033666701E-2</v>
      </c>
      <c r="K155" s="218">
        <f t="shared" si="73"/>
        <v>2.0129687289575537E-2</v>
      </c>
      <c r="L155" s="218">
        <f t="shared" si="73"/>
        <v>1.6482545129257842E-2</v>
      </c>
      <c r="M155" s="218">
        <f t="shared" si="73"/>
        <v>1.4265309102071022E-2</v>
      </c>
      <c r="N155" s="236"/>
      <c r="O155" s="236"/>
      <c r="P155" s="188"/>
    </row>
    <row r="156" spans="1:16" ht="15.75">
      <c r="A156" s="209">
        <f t="shared" si="68"/>
        <v>6</v>
      </c>
      <c r="B156" s="185"/>
      <c r="C156" s="185"/>
      <c r="D156" s="185"/>
      <c r="E156" s="185"/>
      <c r="F156" s="185"/>
      <c r="G156" s="185"/>
      <c r="H156" s="218">
        <f t="shared" ref="H156:M156" si="74">IF(I118&gt;0,(1+$D$4)*(($D$11*I118+(1-$D$11)*I119)/(($D$11*I118+(1-$D$11)*I119)-((I118-I119)/((1+$D$9)-1/(1+$D$9))*($D$5-$D$4))))-1,"NA")</f>
        <v>3.6347960166632776E-2</v>
      </c>
      <c r="I156" s="218">
        <f t="shared" si="74"/>
        <v>3.4981005716969715E-2</v>
      </c>
      <c r="J156" s="218">
        <f t="shared" si="74"/>
        <v>3.3185955235917275E-2</v>
      </c>
      <c r="K156" s="218">
        <f t="shared" si="74"/>
        <v>3.0724368456305662E-2</v>
      </c>
      <c r="L156" s="218">
        <f t="shared" si="74"/>
        <v>2.7140359476751641E-2</v>
      </c>
      <c r="M156" s="218">
        <f t="shared" si="74"/>
        <v>2.091650293884828E-2</v>
      </c>
      <c r="N156" s="236"/>
      <c r="O156" s="236"/>
      <c r="P156" s="188"/>
    </row>
    <row r="157" spans="1:16" ht="15.75">
      <c r="A157" s="209">
        <f t="shared" si="68"/>
        <v>7</v>
      </c>
      <c r="B157" s="185"/>
      <c r="C157" s="185"/>
      <c r="D157" s="185"/>
      <c r="E157" s="185"/>
      <c r="F157" s="185"/>
      <c r="G157" s="185"/>
      <c r="H157" s="185"/>
      <c r="I157" s="218">
        <f>IF(J119&gt;0,(1+$D$4)*(($D$11*J119+(1-$D$11)*J120)/(($D$11*J119+(1-$D$11)*J120)-((J119-J120)/((1+$D$9)-1/(1+$D$9))*($D$5-$D$4))))-1,"NA")</f>
        <v>4.644456558450627E-2</v>
      </c>
      <c r="J157" s="218">
        <f>IF(K119&gt;0,(1+$D$4)*(($D$11*K119+(1-$D$11)*K120)/(($D$11*K119+(1-$D$11)*K120)-((K119-K120)/((1+$D$9)-1/(1+$D$9))*($D$5-$D$4))))-1,"NA")</f>
        <v>4.6444565584506492E-2</v>
      </c>
      <c r="K157" s="218">
        <f>IF(L119&gt;0,(1+$D$4)*(($D$11*L119+(1-$D$11)*L120)/(($D$11*L119+(1-$D$11)*L120)-((L119-L120)/((1+$D$9)-1/(1+$D$9))*($D$5-$D$4))))-1,"NA")</f>
        <v>4.644456558450627E-2</v>
      </c>
      <c r="L157" s="218">
        <f>IF(M119&gt;0,(1+$D$4)*(($D$11*M119+(1-$D$11)*M120)/(($D$11*M119+(1-$D$11)*M120)-((M119-M120)/((1+$D$9)-1/(1+$D$9))*($D$5-$D$4))))-1,"NA")</f>
        <v>4.6444565584506492E-2</v>
      </c>
      <c r="M157" s="218">
        <f>IF(N119&gt;0,(1+$D$4)*(($D$11*N119+(1-$D$11)*N120)/(($D$11*N119+(1-$D$11)*N120)-((N119-N120)/((1+$D$9)-1/(1+$D$9))*($D$5-$D$4))))-1,"NA")</f>
        <v>4.644456558450627E-2</v>
      </c>
      <c r="N157" s="236"/>
      <c r="O157" s="236"/>
      <c r="P157" s="188"/>
    </row>
    <row r="158" spans="1:16" ht="15.75">
      <c r="A158" s="209">
        <f t="shared" si="68"/>
        <v>8</v>
      </c>
      <c r="B158" s="185"/>
      <c r="C158" s="185"/>
      <c r="D158" s="185"/>
      <c r="E158" s="185"/>
      <c r="F158" s="185"/>
      <c r="G158" s="185"/>
      <c r="H158" s="185"/>
      <c r="I158" s="185"/>
      <c r="J158" s="237" t="str">
        <f>IF(K120&gt;0,(1+$D$4)*(($D$11*K120+(1-$D$11)*K121)/(($D$11*K120+(1-$D$11)*K121)-((K120-K121)/((1+$D$9)-1/(1+$D$9))*($D$5-$D$4))))-1,"NA")</f>
        <v>NA</v>
      </c>
      <c r="K158" s="237" t="str">
        <f>IF(L120&gt;0,(1+$D$4)*(($D$11*L120+(1-$D$11)*L121)/(($D$11*L120+(1-$D$11)*L121)-((L120-L121)/((1+$D$9)-1/(1+$D$9))*($D$5-$D$4))))-1,"NA")</f>
        <v>NA</v>
      </c>
      <c r="L158" s="237" t="str">
        <f>IF(M120&gt;0,(1+$D$4)*(($D$11*M120+(1-$D$11)*M121)/(($D$11*M120+(1-$D$11)*M121)-((M120-M121)/((1+$D$9)-1/(1+$D$9))*($D$5-$D$4))))-1,"NA")</f>
        <v>NA</v>
      </c>
      <c r="M158" s="237" t="str">
        <f>IF(N120&gt;0,(1+$D$4)*(($D$11*N120+(1-$D$11)*N121)/(($D$11*N120+(1-$D$11)*N121)-((N120-N121)/((1+$D$9)-1/(1+$D$9))*($D$5-$D$4))))-1,"NA")</f>
        <v>NA</v>
      </c>
      <c r="N158" s="236"/>
      <c r="O158" s="236"/>
      <c r="P158" s="188"/>
    </row>
    <row r="159" spans="1:16" ht="15.75">
      <c r="A159" s="209">
        <f t="shared" si="68"/>
        <v>9</v>
      </c>
      <c r="B159" s="185"/>
      <c r="C159" s="185"/>
      <c r="D159" s="185"/>
      <c r="E159" s="185"/>
      <c r="F159" s="185"/>
      <c r="G159" s="185"/>
      <c r="H159" s="185"/>
      <c r="I159" s="185"/>
      <c r="J159" s="217"/>
      <c r="K159" s="237" t="str">
        <f>IF(L121&gt;0,(1+$D$4)*(($D$11*L121+(1-$D$11)*L122)/(($D$11*L121+(1-$D$11)*L122)-((L121-L122)/((1+$D$9)-1/(1+$D$9))*($D$5-$D$4))))-1,"NA")</f>
        <v>NA</v>
      </c>
      <c r="L159" s="237" t="str">
        <f>IF(M121&gt;0,(1+$D$4)*(($D$11*M121+(1-$D$11)*M122)/(($D$11*M121+(1-$D$11)*M122)-((M121-M122)/((1+$D$9)-1/(1+$D$9))*($D$5-$D$4))))-1,"NA")</f>
        <v>NA</v>
      </c>
      <c r="M159" s="237" t="str">
        <f>IF(N121&gt;0,(1+$D$4)*(($D$11*N121+(1-$D$11)*N122)/(($D$11*N121+(1-$D$11)*N122)-((N121-N122)/((1+$D$9)-1/(1+$D$9))*($D$5-$D$4))))-1,"NA")</f>
        <v>NA</v>
      </c>
      <c r="N159" s="236"/>
      <c r="O159" s="236"/>
      <c r="P159" s="188"/>
    </row>
    <row r="160" spans="1:16" ht="15.75">
      <c r="A160" s="209">
        <f t="shared" si="68"/>
        <v>10</v>
      </c>
      <c r="B160" s="185"/>
      <c r="C160" s="185"/>
      <c r="D160" s="185"/>
      <c r="E160" s="185"/>
      <c r="F160" s="185"/>
      <c r="G160" s="185"/>
      <c r="H160" s="185"/>
      <c r="I160" s="185"/>
      <c r="J160" s="217"/>
      <c r="K160" s="217"/>
      <c r="L160" s="237" t="str">
        <f>IF(M122&gt;0,(1+$D$4)*(($D$11*M122+(1-$D$11)*M123)/(($D$11*M122+(1-$D$11)*M123)-((M122-M123)/((1+$D$9)-1/(1+$D$9))*($D$5-$D$4))))-1,"NA")</f>
        <v>NA</v>
      </c>
      <c r="M160" s="237" t="str">
        <f>IF(N122&gt;0,(1+$D$4)*(($D$11*N122+(1-$D$11)*N123)/(($D$11*N122+(1-$D$11)*N123)-((N122-N123)/((1+$D$9)-1/(1+$D$9))*($D$5-$D$4))))-1,"NA")</f>
        <v>NA</v>
      </c>
      <c r="N160" s="236"/>
      <c r="O160" s="236"/>
      <c r="P160" s="188"/>
    </row>
    <row r="161" spans="1:16" ht="15.75">
      <c r="A161" s="209">
        <f t="shared" si="68"/>
        <v>11</v>
      </c>
      <c r="B161" s="185"/>
      <c r="C161" s="185"/>
      <c r="D161" s="185"/>
      <c r="E161" s="185"/>
      <c r="F161" s="185"/>
      <c r="G161" s="185"/>
      <c r="H161" s="185"/>
      <c r="I161" s="185"/>
      <c r="J161" s="217"/>
      <c r="K161" s="217"/>
      <c r="L161" s="217"/>
      <c r="M161" s="237" t="str">
        <f>IF(N123&gt;0,(1+$D$4)*(($D$11*N123+(1-$D$11)*N124)/(($D$11*N123+(1-$D$11)*N124)-((N123-N124)/((1+$D$9)-1/(1+$D$9))*($D$5-$D$4))))-1,"NA")</f>
        <v>NA</v>
      </c>
      <c r="N161" s="236"/>
      <c r="O161" s="236"/>
      <c r="P161" s="188"/>
    </row>
    <row r="162" spans="1:16" ht="15.75">
      <c r="A162" s="209">
        <f t="shared" si="68"/>
        <v>12</v>
      </c>
      <c r="N162" s="236"/>
      <c r="O162" s="236"/>
      <c r="P162" s="188"/>
    </row>
    <row r="164" spans="1:16" ht="15.75">
      <c r="B164" s="185" t="s">
        <v>11</v>
      </c>
      <c r="C164" s="185"/>
      <c r="D164" s="185"/>
      <c r="E164" s="185"/>
      <c r="F164" s="185"/>
      <c r="G164" s="185"/>
      <c r="H164" s="185"/>
      <c r="I164" s="185"/>
      <c r="J164" s="185"/>
      <c r="K164" s="185"/>
      <c r="L164" s="185"/>
      <c r="M164" s="185"/>
    </row>
    <row r="165" spans="1:16" ht="15.75">
      <c r="A165" s="288" t="s">
        <v>161</v>
      </c>
      <c r="B165" s="185">
        <v>0</v>
      </c>
      <c r="C165" s="185">
        <v>1</v>
      </c>
      <c r="D165" s="185">
        <v>2</v>
      </c>
      <c r="E165" s="185">
        <v>3</v>
      </c>
      <c r="F165" s="185">
        <v>4</v>
      </c>
      <c r="G165" s="185">
        <v>5</v>
      </c>
      <c r="H165" s="185">
        <v>6</v>
      </c>
      <c r="I165" s="185">
        <v>7</v>
      </c>
      <c r="J165" s="185">
        <v>8</v>
      </c>
      <c r="K165" s="185">
        <v>9</v>
      </c>
      <c r="L165" s="185">
        <v>10</v>
      </c>
      <c r="M165" s="185">
        <v>11</v>
      </c>
    </row>
    <row r="166" spans="1:16" ht="15.75">
      <c r="A166" s="209" t="s">
        <v>10</v>
      </c>
      <c r="B166" s="185" t="s">
        <v>29</v>
      </c>
      <c r="C166" s="185"/>
      <c r="D166" s="185"/>
      <c r="E166" s="185"/>
      <c r="F166" s="185"/>
      <c r="G166" s="185"/>
      <c r="H166" s="185"/>
      <c r="I166" s="185"/>
      <c r="J166" s="185"/>
      <c r="K166" s="185"/>
      <c r="L166" s="185"/>
      <c r="M166" s="185"/>
    </row>
    <row r="167" spans="1:16" ht="15.75">
      <c r="A167" s="209">
        <v>0</v>
      </c>
      <c r="B167" s="238">
        <f t="shared" ref="B167:M167" si="75">IF(C112&gt;0,(1+B150)^(1/$B$3)-1,"NA")</f>
        <v>0.19177269139136843</v>
      </c>
      <c r="C167" s="238">
        <f t="shared" si="75"/>
        <v>0.17071118530244656</v>
      </c>
      <c r="D167" s="238">
        <f t="shared" si="75"/>
        <v>0.15488052466927016</v>
      </c>
      <c r="E167" s="238">
        <f t="shared" si="75"/>
        <v>0.14346034887493975</v>
      </c>
      <c r="F167" s="238">
        <f t="shared" si="75"/>
        <v>0.13487953606447034</v>
      </c>
      <c r="G167" s="238">
        <f t="shared" si="75"/>
        <v>0.12823276763054414</v>
      </c>
      <c r="H167" s="238">
        <f t="shared" si="75"/>
        <v>0.12296159625731562</v>
      </c>
      <c r="I167" s="238">
        <f t="shared" si="75"/>
        <v>0.11870279903654857</v>
      </c>
      <c r="J167" s="238">
        <f t="shared" si="75"/>
        <v>0.11520988927642439</v>
      </c>
      <c r="K167" s="238">
        <f t="shared" si="75"/>
        <v>0.11230967953452886</v>
      </c>
      <c r="L167" s="238">
        <f t="shared" si="75"/>
        <v>0.10987690059617039</v>
      </c>
      <c r="M167" s="238">
        <f t="shared" si="75"/>
        <v>0.10781868794587268</v>
      </c>
    </row>
    <row r="168" spans="1:16" ht="15.75">
      <c r="A168" s="209">
        <f t="shared" ref="A168:A179" si="76">1+A167</f>
        <v>1</v>
      </c>
      <c r="B168" s="239"/>
      <c r="C168" s="238">
        <f t="shared" ref="C168:M168" si="77">IF(D113&gt;0,(1+C151)^(1/$B$3)-1,"NA")</f>
        <v>0.21727096701249704</v>
      </c>
      <c r="D168" s="238">
        <f t="shared" si="77"/>
        <v>0.19655945695848853</v>
      </c>
      <c r="E168" s="238">
        <f t="shared" si="77"/>
        <v>0.17331950792725936</v>
      </c>
      <c r="F168" s="238">
        <f t="shared" si="77"/>
        <v>0.15671158437206456</v>
      </c>
      <c r="G168" s="238">
        <f t="shared" si="77"/>
        <v>0.14480890124078538</v>
      </c>
      <c r="H168" s="238">
        <f t="shared" si="77"/>
        <v>0.1359083391506799</v>
      </c>
      <c r="I168" s="238">
        <f t="shared" si="77"/>
        <v>0.12903898014153947</v>
      </c>
      <c r="J168" s="238">
        <f t="shared" si="77"/>
        <v>0.12360678722200347</v>
      </c>
      <c r="K168" s="238">
        <f t="shared" si="77"/>
        <v>0.11922787343388253</v>
      </c>
      <c r="L168" s="238">
        <f t="shared" si="77"/>
        <v>0.11564308662342837</v>
      </c>
      <c r="M168" s="238">
        <f t="shared" si="77"/>
        <v>0.11267112505657884</v>
      </c>
    </row>
    <row r="169" spans="1:16" ht="15.75">
      <c r="A169" s="209">
        <f t="shared" si="76"/>
        <v>2</v>
      </c>
      <c r="B169" s="239"/>
      <c r="C169" s="239"/>
      <c r="D169" s="238">
        <f t="shared" ref="D169:M169" si="78">IF(E114&gt;0,(1+D152)^(1/$B$3)-1,"NA")</f>
        <v>0.2448865675292502</v>
      </c>
      <c r="E169" s="238">
        <f t="shared" si="78"/>
        <v>0.22621714015841721</v>
      </c>
      <c r="F169" s="238">
        <f t="shared" si="78"/>
        <v>0.20191719222798832</v>
      </c>
      <c r="G169" s="238">
        <f t="shared" si="78"/>
        <v>0.17606806003190267</v>
      </c>
      <c r="H169" s="238">
        <f t="shared" si="78"/>
        <v>0.15862608611168683</v>
      </c>
      <c r="I169" s="238">
        <f t="shared" si="78"/>
        <v>0.14621103652805822</v>
      </c>
      <c r="J169" s="238">
        <f t="shared" si="78"/>
        <v>0.13697354958056684</v>
      </c>
      <c r="K169" s="238">
        <f t="shared" si="78"/>
        <v>0.12987102800641681</v>
      </c>
      <c r="L169" s="238">
        <f t="shared" si="78"/>
        <v>0.12427095254171827</v>
      </c>
      <c r="M169" s="238">
        <f t="shared" si="78"/>
        <v>0.11976727612941129</v>
      </c>
    </row>
    <row r="170" spans="1:16" ht="15.75">
      <c r="A170" s="209">
        <f t="shared" si="76"/>
        <v>3</v>
      </c>
      <c r="B170" s="239"/>
      <c r="C170" s="239"/>
      <c r="D170" s="239"/>
      <c r="E170" s="238">
        <f t="shared" ref="E170:M170" si="79">IF(F115&gt;0,(1+E153)^(1/$B$3)-1,"NA")</f>
        <v>0.28342494667575613</v>
      </c>
      <c r="F170" s="238">
        <f t="shared" si="79"/>
        <v>0.26034304086125681</v>
      </c>
      <c r="G170" s="238">
        <f t="shared" si="79"/>
        <v>0.23673219254331701</v>
      </c>
      <c r="H170" s="238">
        <f t="shared" si="79"/>
        <v>0.20669099713161909</v>
      </c>
      <c r="I170" s="238">
        <f t="shared" si="79"/>
        <v>0.17896812170550724</v>
      </c>
      <c r="J170" s="238">
        <f t="shared" si="79"/>
        <v>0.16062963487556492</v>
      </c>
      <c r="K170" s="238">
        <f t="shared" si="79"/>
        <v>0.14766984573076147</v>
      </c>
      <c r="L170" s="238">
        <f t="shared" si="79"/>
        <v>0.13807700881639495</v>
      </c>
      <c r="M170" s="238">
        <f t="shared" si="79"/>
        <v>0.13073007557889427</v>
      </c>
    </row>
    <row r="171" spans="1:16" ht="15.75">
      <c r="A171" s="209">
        <f t="shared" si="76"/>
        <v>4</v>
      </c>
      <c r="B171" s="239"/>
      <c r="C171" s="239"/>
      <c r="D171" s="239"/>
      <c r="E171" s="239"/>
      <c r="F171" s="238">
        <f t="shared" ref="F171:M171" si="80">IF(G116&gt;0,(1+F154)^(1/$B$3)-1,"NA")</f>
        <v>0.338699748773585</v>
      </c>
      <c r="G171" s="238">
        <f t="shared" si="80"/>
        <v>0.31223647486821093</v>
      </c>
      <c r="H171" s="238">
        <f t="shared" si="80"/>
        <v>0.28351728722373215</v>
      </c>
      <c r="I171" s="238">
        <f t="shared" si="80"/>
        <v>0.25059922978173854</v>
      </c>
      <c r="J171" s="238">
        <f t="shared" si="80"/>
        <v>0.21154075680480533</v>
      </c>
      <c r="K171" s="238">
        <f t="shared" si="80"/>
        <v>0.1820322142530173</v>
      </c>
      <c r="L171" s="238">
        <f t="shared" si="80"/>
        <v>0.16272834807834702</v>
      </c>
      <c r="M171" s="238">
        <f t="shared" si="80"/>
        <v>0.14918866149882382</v>
      </c>
    </row>
    <row r="172" spans="1:16" ht="15.75">
      <c r="A172" s="209">
        <f t="shared" si="76"/>
        <v>5</v>
      </c>
      <c r="B172" s="239"/>
      <c r="C172" s="239"/>
      <c r="D172" s="239"/>
      <c r="E172" s="239"/>
      <c r="F172" s="239"/>
      <c r="G172" s="238">
        <f t="shared" ref="G172:M172" si="81">IF(H117&gt;0,(1+G155)^(1/$B$3)-1,"NA")</f>
        <v>0.41759265342635565</v>
      </c>
      <c r="H172" s="238">
        <f t="shared" si="81"/>
        <v>0.38958355111805321</v>
      </c>
      <c r="I172" s="238">
        <f t="shared" si="81"/>
        <v>0.35701540467942827</v>
      </c>
      <c r="J172" s="238">
        <f t="shared" si="81"/>
        <v>0.31944552780250324</v>
      </c>
      <c r="K172" s="238">
        <f t="shared" si="81"/>
        <v>0.27017814639697435</v>
      </c>
      <c r="L172" s="238">
        <f t="shared" si="81"/>
        <v>0.2167436960961866</v>
      </c>
      <c r="M172" s="238">
        <f t="shared" si="81"/>
        <v>0.18527427563204246</v>
      </c>
    </row>
    <row r="173" spans="1:16" ht="15.75">
      <c r="A173" s="209">
        <f t="shared" si="76"/>
        <v>6</v>
      </c>
      <c r="B173" s="239"/>
      <c r="C173" s="239"/>
      <c r="D173" s="239"/>
      <c r="E173" s="239"/>
      <c r="F173" s="239"/>
      <c r="G173" s="239"/>
      <c r="H173" s="238">
        <f t="shared" ref="H173:M173" si="82">IF(I118&gt;0,(1+H156)^(1/$B$3)-1,"NA")</f>
        <v>0.53485432766537877</v>
      </c>
      <c r="I173" s="238">
        <f t="shared" si="82"/>
        <v>0.51073591799671236</v>
      </c>
      <c r="J173" s="238">
        <f t="shared" si="82"/>
        <v>0.47959183744757961</v>
      </c>
      <c r="K173" s="238">
        <f t="shared" si="82"/>
        <v>0.43783988129701612</v>
      </c>
      <c r="L173" s="238">
        <f t="shared" si="82"/>
        <v>0.37897861645329289</v>
      </c>
      <c r="M173" s="238">
        <f t="shared" si="82"/>
        <v>0.28198425112371228</v>
      </c>
    </row>
    <row r="174" spans="1:16" ht="15.75">
      <c r="A174" s="209">
        <f t="shared" si="76"/>
        <v>7</v>
      </c>
      <c r="B174" s="239"/>
      <c r="C174" s="239"/>
      <c r="D174" s="239"/>
      <c r="E174" s="239"/>
      <c r="F174" s="239"/>
      <c r="G174" s="239"/>
      <c r="H174" s="239"/>
      <c r="I174" s="238">
        <f>IF(J119&gt;0,(1+I157)^(1/$B$3)-1,"NA")</f>
        <v>0.72422811881021087</v>
      </c>
      <c r="J174" s="238">
        <f>IF(K119&gt;0,(1+J157)^(1/$B$3)-1,"NA")</f>
        <v>0.72422811881021443</v>
      </c>
      <c r="K174" s="238">
        <f>IF(L119&gt;0,(1+K157)^(1/$B$3)-1,"NA")</f>
        <v>0.72422811881021087</v>
      </c>
      <c r="L174" s="238">
        <f>IF(M119&gt;0,(1+L157)^(1/$B$3)-1,"NA")</f>
        <v>0.72422811881021443</v>
      </c>
      <c r="M174" s="238">
        <f>IF(N119&gt;0,(1+M157)^(1/$B$3)-1,"NA")</f>
        <v>0.72422811881021087</v>
      </c>
    </row>
    <row r="175" spans="1:16" ht="15.75">
      <c r="A175" s="209">
        <f t="shared" si="76"/>
        <v>8</v>
      </c>
      <c r="B175" s="239"/>
      <c r="C175" s="239"/>
      <c r="D175" s="239"/>
      <c r="E175" s="239"/>
      <c r="F175" s="239"/>
      <c r="G175" s="239"/>
      <c r="H175" s="239"/>
      <c r="I175" s="239"/>
      <c r="J175" s="238" t="str">
        <f>IF(K120&gt;0,(1+J158)^(1/$B$3)-1,"NA")</f>
        <v>NA</v>
      </c>
      <c r="K175" s="238" t="str">
        <f>IF(L120&gt;0,(1+K158)^(1/$B$3)-1,"NA")</f>
        <v>NA</v>
      </c>
      <c r="L175" s="238" t="str">
        <f>IF(M120&gt;0,(1+L158)^(1/$B$3)-1,"NA")</f>
        <v>NA</v>
      </c>
      <c r="M175" s="238" t="str">
        <f>IF(N120&gt;0,(1+M158)^(1/$B$3)-1,"NA")</f>
        <v>NA</v>
      </c>
    </row>
    <row r="176" spans="1:16" ht="15.75">
      <c r="A176" s="209">
        <f t="shared" si="76"/>
        <v>9</v>
      </c>
      <c r="B176" s="239"/>
      <c r="C176" s="239"/>
      <c r="D176" s="239"/>
      <c r="E176" s="239"/>
      <c r="F176" s="239"/>
      <c r="G176" s="239"/>
      <c r="H176" s="239"/>
      <c r="I176" s="239"/>
      <c r="J176" s="239"/>
      <c r="K176" s="238" t="str">
        <f>IF(L121&gt;0,(1+K159)^(1/$B$3)-1,"NA")</f>
        <v>NA</v>
      </c>
      <c r="L176" s="238" t="str">
        <f>IF(M121&gt;0,(1+L159)^(1/$B$3)-1,"NA")</f>
        <v>NA</v>
      </c>
      <c r="M176" s="238" t="str">
        <f>IF(N121&gt;0,(1+M159)^(1/$B$3)-1,"NA")</f>
        <v>NA</v>
      </c>
    </row>
    <row r="177" spans="1:14" ht="15.75">
      <c r="A177" s="209">
        <f t="shared" si="76"/>
        <v>10</v>
      </c>
      <c r="B177" s="239"/>
      <c r="C177" s="239"/>
      <c r="D177" s="239"/>
      <c r="E177" s="239"/>
      <c r="F177" s="239"/>
      <c r="G177" s="239"/>
      <c r="H177" s="239"/>
      <c r="I177" s="239"/>
      <c r="J177" s="239"/>
      <c r="K177" s="239"/>
      <c r="L177" s="238" t="str">
        <f>IF(M122&gt;0,(1+L160)^(1/$B$3)-1,"NA")</f>
        <v>NA</v>
      </c>
      <c r="M177" s="238" t="str">
        <f>IF(N122&gt;0,(1+M160)^(1/$B$3)-1,"NA")</f>
        <v>NA</v>
      </c>
    </row>
    <row r="178" spans="1:14" ht="15.75">
      <c r="A178" s="209">
        <f t="shared" si="76"/>
        <v>11</v>
      </c>
      <c r="B178" s="239"/>
      <c r="C178" s="239"/>
      <c r="D178" s="239"/>
      <c r="E178" s="239"/>
      <c r="F178" s="239"/>
      <c r="G178" s="239"/>
      <c r="H178" s="239"/>
      <c r="I178" s="239"/>
      <c r="J178" s="239"/>
      <c r="K178" s="239"/>
      <c r="L178" s="239"/>
      <c r="M178" s="238" t="str">
        <f>IF(N123&gt;0,(1+M161)^(1/$B$3)-1,"NA")</f>
        <v>NA</v>
      </c>
    </row>
    <row r="179" spans="1:14" ht="15.75">
      <c r="A179" s="209">
        <f t="shared" si="76"/>
        <v>12</v>
      </c>
    </row>
    <row r="181" spans="1:14" ht="15.75">
      <c r="A181" s="288" t="s">
        <v>162</v>
      </c>
    </row>
    <row r="182" spans="1:14" ht="15.75">
      <c r="A182" s="185"/>
      <c r="B182" s="185" t="s">
        <v>168</v>
      </c>
      <c r="C182" s="185"/>
      <c r="D182" s="185"/>
      <c r="E182" s="185"/>
      <c r="F182" s="185"/>
      <c r="G182" s="185"/>
      <c r="H182" s="185"/>
      <c r="I182" s="185"/>
      <c r="J182" s="185"/>
      <c r="K182" s="185"/>
      <c r="L182" s="185"/>
      <c r="M182" s="185"/>
      <c r="N182" s="185"/>
    </row>
    <row r="183" spans="1:14" ht="15.75">
      <c r="A183" s="217" t="str">
        <f t="shared" ref="A183:N183" si="83">A23</f>
        <v>Period ("j"):</v>
      </c>
      <c r="B183" s="185">
        <f t="shared" si="83"/>
        <v>0</v>
      </c>
      <c r="C183" s="185">
        <f t="shared" si="83"/>
        <v>1</v>
      </c>
      <c r="D183" s="185">
        <f t="shared" si="83"/>
        <v>2</v>
      </c>
      <c r="E183" s="185">
        <f t="shared" si="83"/>
        <v>3</v>
      </c>
      <c r="F183" s="185">
        <f t="shared" si="83"/>
        <v>4</v>
      </c>
      <c r="G183" s="185">
        <f t="shared" si="83"/>
        <v>5</v>
      </c>
      <c r="H183" s="185">
        <f t="shared" si="83"/>
        <v>6</v>
      </c>
      <c r="I183" s="185">
        <f t="shared" si="83"/>
        <v>7</v>
      </c>
      <c r="J183" s="185">
        <f t="shared" si="83"/>
        <v>8</v>
      </c>
      <c r="K183" s="185">
        <f t="shared" si="83"/>
        <v>9</v>
      </c>
      <c r="L183" s="185">
        <f t="shared" si="83"/>
        <v>10</v>
      </c>
      <c r="M183" s="185">
        <f t="shared" si="83"/>
        <v>11</v>
      </c>
      <c r="N183" s="217" t="str">
        <f t="shared" si="83"/>
        <v>n = 12</v>
      </c>
    </row>
    <row r="184" spans="1:14" ht="15.75">
      <c r="A184" s="209" t="str">
        <f t="shared" ref="A184:A197" si="84">A24</f>
        <v>"down" moves ("i"):</v>
      </c>
      <c r="B184" s="185"/>
      <c r="C184" s="185"/>
      <c r="D184" s="185"/>
      <c r="E184" s="185"/>
      <c r="F184" s="185"/>
      <c r="G184" s="185"/>
      <c r="H184" s="185"/>
      <c r="I184" s="185"/>
      <c r="J184" s="185"/>
      <c r="K184" s="185"/>
      <c r="L184" s="185"/>
      <c r="M184" s="185"/>
      <c r="N184" s="185"/>
    </row>
    <row r="185" spans="1:14" ht="15.75">
      <c r="A185" s="209">
        <f t="shared" si="84"/>
        <v>0</v>
      </c>
      <c r="B185" s="306">
        <f t="shared" ref="B185:N185" si="85">B25/(1+$D$6)^$B$8</f>
        <v>9.3519807031578512</v>
      </c>
      <c r="C185" s="306">
        <f t="shared" si="85"/>
        <v>10.447983492337618</v>
      </c>
      <c r="D185" s="306">
        <f t="shared" si="85"/>
        <v>11.672432024939868</v>
      </c>
      <c r="E185" s="306">
        <f t="shared" si="85"/>
        <v>13.040379464301623</v>
      </c>
      <c r="F185" s="306">
        <f t="shared" si="85"/>
        <v>14.568643125069347</v>
      </c>
      <c r="G185" s="306">
        <f t="shared" si="85"/>
        <v>16.276011222423204</v>
      </c>
      <c r="H185" s="306">
        <f t="shared" si="85"/>
        <v>18.183473851219428</v>
      </c>
      <c r="I185" s="306">
        <f t="shared" si="85"/>
        <v>20.314481034669289</v>
      </c>
      <c r="J185" s="306">
        <f t="shared" si="85"/>
        <v>22.695231014961589</v>
      </c>
      <c r="K185" s="306">
        <f t="shared" si="85"/>
        <v>25.354992330024817</v>
      </c>
      <c r="L185" s="306">
        <f t="shared" si="85"/>
        <v>28.326463635986272</v>
      </c>
      <c r="M185" s="306">
        <f t="shared" si="85"/>
        <v>31.646175698924662</v>
      </c>
      <c r="N185" s="306">
        <f t="shared" si="85"/>
        <v>35.354940497934848</v>
      </c>
    </row>
    <row r="186" spans="1:14" ht="15.75">
      <c r="A186" s="209">
        <f t="shared" si="84"/>
        <v>1</v>
      </c>
      <c r="B186" s="306"/>
      <c r="C186" s="306">
        <f t="shared" ref="C186:N186" si="86">C26/(1+$D$6)^$B$8</f>
        <v>8.2467839435763235</v>
      </c>
      <c r="D186" s="306">
        <f t="shared" si="86"/>
        <v>9.2132635045179487</v>
      </c>
      <c r="E186" s="306">
        <f t="shared" si="86"/>
        <v>10.293009370010395</v>
      </c>
      <c r="F186" s="306">
        <f t="shared" si="86"/>
        <v>11.49929575325492</v>
      </c>
      <c r="G186" s="306">
        <f t="shared" si="86"/>
        <v>12.84695253519361</v>
      </c>
      <c r="H186" s="306">
        <f t="shared" si="86"/>
        <v>14.352547580559541</v>
      </c>
      <c r="I186" s="306">
        <f t="shared" si="86"/>
        <v>16.034590420405966</v>
      </c>
      <c r="J186" s="306">
        <f t="shared" si="86"/>
        <v>17.913759805153088</v>
      </c>
      <c r="K186" s="306">
        <f t="shared" si="86"/>
        <v>20.0131579256512</v>
      </c>
      <c r="L186" s="306">
        <f t="shared" si="86"/>
        <v>22.358594427610868</v>
      </c>
      <c r="M186" s="306">
        <f t="shared" si="86"/>
        <v>24.97890371102568</v>
      </c>
      <c r="N186" s="306">
        <f t="shared" si="86"/>
        <v>27.906299415412953</v>
      </c>
    </row>
    <row r="187" spans="1:14" ht="15.75">
      <c r="A187" s="209">
        <f t="shared" si="84"/>
        <v>2</v>
      </c>
      <c r="B187" s="306"/>
      <c r="C187" s="306"/>
      <c r="D187" s="306">
        <f t="shared" ref="D187:N187" si="87">D27/(1+$D$6)^$B$8</f>
        <v>7.272196935678422</v>
      </c>
      <c r="E187" s="306">
        <f t="shared" si="87"/>
        <v>8.1244600420679358</v>
      </c>
      <c r="F187" s="306">
        <f t="shared" si="87"/>
        <v>9.0766038872406796</v>
      </c>
      <c r="G187" s="306">
        <f t="shared" si="87"/>
        <v>10.140333966723906</v>
      </c>
      <c r="H187" s="306">
        <f t="shared" si="87"/>
        <v>11.328727598352225</v>
      </c>
      <c r="I187" s="306">
        <f t="shared" si="87"/>
        <v>12.656394692603101</v>
      </c>
      <c r="J187" s="306">
        <f t="shared" si="87"/>
        <v>14.139657364367284</v>
      </c>
      <c r="K187" s="306">
        <f t="shared" si="87"/>
        <v>15.79675059427097</v>
      </c>
      <c r="L187" s="306">
        <f t="shared" si="87"/>
        <v>17.648046406446031</v>
      </c>
      <c r="M187" s="306">
        <f t="shared" si="87"/>
        <v>19.71630431875198</v>
      </c>
      <c r="N187" s="306">
        <f t="shared" si="87"/>
        <v>22.026951144442354</v>
      </c>
    </row>
    <row r="188" spans="1:14" ht="15.75">
      <c r="A188" s="209">
        <f t="shared" si="84"/>
        <v>3</v>
      </c>
      <c r="B188" s="306"/>
      <c r="C188" s="306"/>
      <c r="D188" s="306"/>
      <c r="E188" s="306">
        <f t="shared" ref="E188:N188" si="88">E28/(1+$D$6)^$B$8</f>
        <v>6.4127845027981216</v>
      </c>
      <c r="F188" s="306">
        <f t="shared" si="88"/>
        <v>7.1643290070657857</v>
      </c>
      <c r="G188" s="306">
        <f t="shared" si="88"/>
        <v>8.0039505614274411</v>
      </c>
      <c r="H188" s="306">
        <f t="shared" si="88"/>
        <v>8.9419713313825486</v>
      </c>
      <c r="I188" s="306">
        <f t="shared" si="88"/>
        <v>9.9899231857583288</v>
      </c>
      <c r="J188" s="306">
        <f t="shared" si="88"/>
        <v>11.160689467556328</v>
      </c>
      <c r="K188" s="306">
        <f t="shared" si="88"/>
        <v>12.468663379594085</v>
      </c>
      <c r="L188" s="306">
        <f t="shared" si="88"/>
        <v>13.929924932108227</v>
      </c>
      <c r="M188" s="306">
        <f t="shared" si="88"/>
        <v>15.562438627682914</v>
      </c>
      <c r="N188" s="306">
        <f t="shared" si="88"/>
        <v>17.386274313808745</v>
      </c>
    </row>
    <row r="189" spans="1:14" ht="15.75">
      <c r="A189" s="209">
        <f t="shared" si="84"/>
        <v>4</v>
      </c>
      <c r="B189" s="306"/>
      <c r="C189" s="306"/>
      <c r="D189" s="306"/>
      <c r="E189" s="306"/>
      <c r="F189" s="306">
        <f t="shared" ref="F189:N189" si="89">F29/(1+$D$6)^$B$8</f>
        <v>5.6549355639103469</v>
      </c>
      <c r="G189" s="306">
        <f t="shared" si="89"/>
        <v>6.3176641716142532</v>
      </c>
      <c r="H189" s="306">
        <f t="shared" si="89"/>
        <v>7.0580610750052362</v>
      </c>
      <c r="I189" s="306">
        <f t="shared" si="89"/>
        <v>7.885228588491958</v>
      </c>
      <c r="J189" s="306">
        <f t="shared" si="89"/>
        <v>8.8093357696999988</v>
      </c>
      <c r="K189" s="306">
        <f t="shared" si="89"/>
        <v>9.8417434361478247</v>
      </c>
      <c r="L189" s="306">
        <f t="shared" si="89"/>
        <v>10.995143833217444</v>
      </c>
      <c r="M189" s="306">
        <f t="shared" si="89"/>
        <v>12.283716670474254</v>
      </c>
      <c r="N189" s="306">
        <f t="shared" si="89"/>
        <v>13.723303444620161</v>
      </c>
    </row>
    <row r="190" spans="1:14" ht="15.75">
      <c r="A190" s="209">
        <f t="shared" si="84"/>
        <v>5</v>
      </c>
      <c r="B190" s="306"/>
      <c r="C190" s="306"/>
      <c r="D190" s="306"/>
      <c r="E190" s="306"/>
      <c r="F190" s="306"/>
      <c r="G190" s="306">
        <f t="shared" ref="G190:N190" si="90">G30/(1+$D$6)^$B$8</f>
        <v>4.9866475659715039</v>
      </c>
      <c r="H190" s="306">
        <f t="shared" si="90"/>
        <v>5.5710563467890033</v>
      </c>
      <c r="I190" s="306">
        <f t="shared" si="90"/>
        <v>6.2239547528664065</v>
      </c>
      <c r="J190" s="306">
        <f t="shared" si="90"/>
        <v>6.9533694068730032</v>
      </c>
      <c r="K190" s="306">
        <f t="shared" si="90"/>
        <v>7.76826760929944</v>
      </c>
      <c r="L190" s="306">
        <f t="shared" si="90"/>
        <v>8.678667580934551</v>
      </c>
      <c r="M190" s="306">
        <f t="shared" si="90"/>
        <v>9.6957616251787275</v>
      </c>
      <c r="N190" s="306">
        <f t="shared" si="90"/>
        <v>10.832053724330491</v>
      </c>
    </row>
    <row r="191" spans="1:14" ht="15.75">
      <c r="A191" s="209">
        <f t="shared" si="84"/>
        <v>6</v>
      </c>
      <c r="B191" s="306"/>
      <c r="C191" s="306"/>
      <c r="D191" s="306"/>
      <c r="E191" s="306"/>
      <c r="F191" s="306"/>
      <c r="G191" s="306"/>
      <c r="H191" s="306">
        <f t="shared" ref="H191:N191" si="91">H31/(1+$D$6)^$B$8</f>
        <v>4.3973363915776282</v>
      </c>
      <c r="I191" s="306">
        <f t="shared" si="91"/>
        <v>4.912681012477389</v>
      </c>
      <c r="J191" s="306">
        <f t="shared" si="91"/>
        <v>5.4884213035376135</v>
      </c>
      <c r="K191" s="306">
        <f t="shared" si="91"/>
        <v>6.1316353186007229</v>
      </c>
      <c r="L191" s="306">
        <f t="shared" si="91"/>
        <v>6.8502306220694669</v>
      </c>
      <c r="M191" s="306">
        <f t="shared" si="91"/>
        <v>7.6530415031673735</v>
      </c>
      <c r="N191" s="306">
        <f t="shared" si="91"/>
        <v>8.5499375831975328</v>
      </c>
    </row>
    <row r="192" spans="1:14" ht="15.75">
      <c r="A192" s="209">
        <f t="shared" si="84"/>
        <v>7</v>
      </c>
      <c r="B192" s="306"/>
      <c r="C192" s="306"/>
      <c r="D192" s="306"/>
      <c r="E192" s="306"/>
      <c r="F192" s="306"/>
      <c r="G192" s="306"/>
      <c r="H192" s="306"/>
      <c r="I192" s="306">
        <f t="shared" ref="I192:N192" si="92">I32/(1+$D$6)^$B$8</f>
        <v>3.8776687313224598</v>
      </c>
      <c r="J192" s="306">
        <f t="shared" si="92"/>
        <v>4.3321110446614419</v>
      </c>
      <c r="K192" s="306">
        <f t="shared" si="92"/>
        <v>4.8398115990886108</v>
      </c>
      <c r="L192" s="306">
        <f t="shared" si="92"/>
        <v>5.4070119794224336</v>
      </c>
      <c r="M192" s="306">
        <f t="shared" si="92"/>
        <v>6.0406852512860443</v>
      </c>
      <c r="N192" s="306">
        <f t="shared" si="92"/>
        <v>6.748621686797617</v>
      </c>
    </row>
    <row r="193" spans="1:14" ht="15.75">
      <c r="A193" s="209">
        <f t="shared" si="84"/>
        <v>8</v>
      </c>
      <c r="B193" s="306"/>
      <c r="C193" s="306"/>
      <c r="D193" s="306"/>
      <c r="E193" s="306"/>
      <c r="F193" s="306"/>
      <c r="G193" s="306"/>
      <c r="H193" s="306"/>
      <c r="I193" s="306"/>
      <c r="J193" s="306">
        <f>J33/(1+$D$6)^$B$8</f>
        <v>3.4194142660260232</v>
      </c>
      <c r="K193" s="306">
        <f>K33/(1+$D$6)^$B$8</f>
        <v>3.8201515741836549</v>
      </c>
      <c r="L193" s="306">
        <f>L33/(1+$D$6)^$B$8</f>
        <v>4.2678531802168029</v>
      </c>
      <c r="M193" s="306">
        <f>M33/(1+$D$6)^$B$8</f>
        <v>4.7680230520117579</v>
      </c>
      <c r="N193" s="306">
        <f>N33/(1+$D$6)^$B$8</f>
        <v>5.32681019344734</v>
      </c>
    </row>
    <row r="194" spans="1:14" ht="15.75">
      <c r="A194" s="209">
        <f t="shared" si="84"/>
        <v>9</v>
      </c>
      <c r="B194" s="306"/>
      <c r="C194" s="306"/>
      <c r="D194" s="306"/>
      <c r="E194" s="306"/>
      <c r="F194" s="306"/>
      <c r="G194" s="306"/>
      <c r="H194" s="306"/>
      <c r="I194" s="306"/>
      <c r="J194" s="306"/>
      <c r="K194" s="306">
        <f>K34/(1+$D$6)^$B$8</f>
        <v>3.0153153177462513</v>
      </c>
      <c r="L194" s="306">
        <f>L34/(1+$D$6)^$B$8</f>
        <v>3.3686943615450091</v>
      </c>
      <c r="M194" s="306">
        <f>M34/(1+$D$6)^$B$8</f>
        <v>3.7634875645400494</v>
      </c>
      <c r="N194" s="306">
        <f>N34/(1+$D$6)^$B$8</f>
        <v>4.2045484476518435</v>
      </c>
    </row>
    <row r="195" spans="1:14" ht="15.75">
      <c r="A195" s="209">
        <f t="shared" si="84"/>
        <v>10</v>
      </c>
      <c r="B195" s="306"/>
      <c r="C195" s="306"/>
      <c r="D195" s="306"/>
      <c r="E195" s="306"/>
      <c r="F195" s="306"/>
      <c r="G195" s="306"/>
      <c r="H195" s="306"/>
      <c r="I195" s="306"/>
      <c r="J195" s="306"/>
      <c r="K195" s="306"/>
      <c r="L195" s="306">
        <f>L35/(1+$D$6)^$B$8</f>
        <v>2.6589719051508403</v>
      </c>
      <c r="M195" s="306">
        <f>M35/(1+$D$6)^$B$8</f>
        <v>2.9705893813729531</v>
      </c>
      <c r="N195" s="306">
        <f>N35/(1+$D$6)^$B$8</f>
        <v>3.3187267814419243</v>
      </c>
    </row>
    <row r="196" spans="1:14" ht="15.75">
      <c r="A196" s="209">
        <f t="shared" si="84"/>
        <v>11</v>
      </c>
      <c r="B196" s="306"/>
      <c r="C196" s="306"/>
      <c r="D196" s="306"/>
      <c r="E196" s="306"/>
      <c r="F196" s="306"/>
      <c r="G196" s="306"/>
      <c r="H196" s="306"/>
      <c r="I196" s="306"/>
      <c r="J196" s="306"/>
      <c r="K196" s="306"/>
      <c r="L196" s="306"/>
      <c r="M196" s="306">
        <f>M36/(1+$D$6)^$B$8</f>
        <v>2.3447403827955027</v>
      </c>
      <c r="N196" s="306">
        <f>N36/(1+$D$6)^$B$8</f>
        <v>2.6195315827579395</v>
      </c>
    </row>
    <row r="197" spans="1:14" ht="15.75">
      <c r="A197" s="209">
        <f t="shared" si="84"/>
        <v>12</v>
      </c>
      <c r="B197" s="306"/>
      <c r="C197" s="306"/>
      <c r="D197" s="306"/>
      <c r="E197" s="306"/>
      <c r="F197" s="306"/>
      <c r="G197" s="306"/>
      <c r="H197" s="306"/>
      <c r="I197" s="306"/>
      <c r="J197" s="306"/>
      <c r="K197" s="306"/>
      <c r="L197" s="306"/>
      <c r="M197" s="306"/>
      <c r="N197" s="306">
        <f>N37/(1+$D$6)^$B$8</f>
        <v>2.067644058992085</v>
      </c>
    </row>
    <row r="198" spans="1:14" ht="15.75">
      <c r="A198" s="185"/>
      <c r="B198" s="185"/>
      <c r="C198" s="185"/>
      <c r="D198" s="185"/>
      <c r="E198" s="185"/>
      <c r="F198" s="185"/>
      <c r="G198" s="185"/>
      <c r="H198" s="185"/>
      <c r="I198" s="185"/>
      <c r="J198" s="185"/>
      <c r="K198" s="185"/>
      <c r="L198" s="185"/>
      <c r="M198" s="185"/>
      <c r="N198" s="185"/>
    </row>
    <row r="199" spans="1:14" ht="15.75">
      <c r="A199" s="288" t="s">
        <v>163</v>
      </c>
    </row>
    <row r="200" spans="1:14" ht="15.75">
      <c r="A200" s="185"/>
      <c r="B200" s="185" t="s">
        <v>169</v>
      </c>
      <c r="C200" s="185"/>
      <c r="D200" s="185"/>
      <c r="E200" s="185"/>
      <c r="F200" s="185"/>
      <c r="G200" s="185"/>
      <c r="H200" s="185"/>
      <c r="I200" s="185"/>
      <c r="J200" s="185"/>
      <c r="K200" s="185"/>
      <c r="L200" s="185"/>
      <c r="M200" s="185"/>
      <c r="N200" s="185"/>
    </row>
    <row r="201" spans="1:14" ht="15.75">
      <c r="A201" s="217" t="str">
        <f t="shared" ref="A201:N201" si="93">A183</f>
        <v>Period ("j"):</v>
      </c>
      <c r="B201" s="185">
        <f t="shared" si="93"/>
        <v>0</v>
      </c>
      <c r="C201" s="185">
        <f t="shared" si="93"/>
        <v>1</v>
      </c>
      <c r="D201" s="185">
        <f t="shared" si="93"/>
        <v>2</v>
      </c>
      <c r="E201" s="185">
        <f t="shared" si="93"/>
        <v>3</v>
      </c>
      <c r="F201" s="185">
        <f t="shared" si="93"/>
        <v>4</v>
      </c>
      <c r="G201" s="185">
        <f t="shared" si="93"/>
        <v>5</v>
      </c>
      <c r="H201" s="185">
        <f t="shared" si="93"/>
        <v>6</v>
      </c>
      <c r="I201" s="185">
        <f t="shared" si="93"/>
        <v>7</v>
      </c>
      <c r="J201" s="185">
        <f t="shared" si="93"/>
        <v>8</v>
      </c>
      <c r="K201" s="185">
        <f t="shared" si="93"/>
        <v>9</v>
      </c>
      <c r="L201" s="185">
        <f t="shared" si="93"/>
        <v>10</v>
      </c>
      <c r="M201" s="185">
        <f t="shared" si="93"/>
        <v>11</v>
      </c>
      <c r="N201" s="217" t="str">
        <f t="shared" si="93"/>
        <v>n = 12</v>
      </c>
    </row>
    <row r="202" spans="1:14" ht="15.75">
      <c r="A202" s="209" t="str">
        <f t="shared" ref="A202:A215" si="94">A184</f>
        <v>"down" moves ("i"):</v>
      </c>
      <c r="B202" s="185"/>
      <c r="C202" s="185"/>
      <c r="D202" s="185"/>
      <c r="E202" s="185"/>
      <c r="F202" s="185"/>
      <c r="G202" s="185"/>
      <c r="H202" s="185"/>
      <c r="I202" s="185"/>
      <c r="J202" s="185"/>
      <c r="K202" s="185"/>
      <c r="L202" s="185"/>
      <c r="M202" s="185"/>
      <c r="N202" s="185"/>
    </row>
    <row r="203" spans="1:14" ht="15.75">
      <c r="A203" s="209">
        <f t="shared" si="94"/>
        <v>0</v>
      </c>
      <c r="B203" s="306">
        <f t="shared" ref="B203:N203" si="95">B75/(1+$D$10)^$B$8</f>
        <v>5.8888926935642845</v>
      </c>
      <c r="C203" s="306">
        <f t="shared" si="95"/>
        <v>5.8888926935642845</v>
      </c>
      <c r="D203" s="306">
        <f t="shared" si="95"/>
        <v>5.8888926935642845</v>
      </c>
      <c r="E203" s="306">
        <f t="shared" si="95"/>
        <v>5.8888926935642845</v>
      </c>
      <c r="F203" s="306">
        <f t="shared" si="95"/>
        <v>5.8888926935642845</v>
      </c>
      <c r="G203" s="306">
        <f t="shared" si="95"/>
        <v>5.8888926935642845</v>
      </c>
      <c r="H203" s="306">
        <f t="shared" si="95"/>
        <v>5.8888926935642845</v>
      </c>
      <c r="I203" s="306">
        <f t="shared" si="95"/>
        <v>5.8888926935642845</v>
      </c>
      <c r="J203" s="306">
        <f t="shared" si="95"/>
        <v>5.8888926935642845</v>
      </c>
      <c r="K203" s="306">
        <f t="shared" si="95"/>
        <v>5.8888926935642845</v>
      </c>
      <c r="L203" s="306">
        <f t="shared" si="95"/>
        <v>5.8888926935642845</v>
      </c>
      <c r="M203" s="306">
        <f t="shared" si="95"/>
        <v>5.8888926935642845</v>
      </c>
      <c r="N203" s="306">
        <f t="shared" si="95"/>
        <v>5.8888926935642845</v>
      </c>
    </row>
    <row r="204" spans="1:14" ht="15.75">
      <c r="A204" s="209">
        <f t="shared" si="94"/>
        <v>1</v>
      </c>
      <c r="B204" s="306"/>
      <c r="C204" s="306">
        <f t="shared" ref="C204:N204" si="96">C76/(1+$D$10)^$B$8</f>
        <v>5.8888926935642845</v>
      </c>
      <c r="D204" s="306">
        <f t="shared" si="96"/>
        <v>5.8888926935642845</v>
      </c>
      <c r="E204" s="306">
        <f t="shared" si="96"/>
        <v>5.8888926935642845</v>
      </c>
      <c r="F204" s="306">
        <f t="shared" si="96"/>
        <v>5.8888926935642845</v>
      </c>
      <c r="G204" s="306">
        <f t="shared" si="96"/>
        <v>5.8888926935642845</v>
      </c>
      <c r="H204" s="306">
        <f t="shared" si="96"/>
        <v>5.8888926935642845</v>
      </c>
      <c r="I204" s="306">
        <f t="shared" si="96"/>
        <v>5.8888926935642845</v>
      </c>
      <c r="J204" s="306">
        <f t="shared" si="96"/>
        <v>5.8888926935642845</v>
      </c>
      <c r="K204" s="306">
        <f t="shared" si="96"/>
        <v>5.8888926935642845</v>
      </c>
      <c r="L204" s="306">
        <f t="shared" si="96"/>
        <v>5.8888926935642845</v>
      </c>
      <c r="M204" s="306">
        <f t="shared" si="96"/>
        <v>5.8888926935642845</v>
      </c>
      <c r="N204" s="306">
        <f t="shared" si="96"/>
        <v>5.8888926935642845</v>
      </c>
    </row>
    <row r="205" spans="1:14" ht="15.75">
      <c r="A205" s="209">
        <f t="shared" si="94"/>
        <v>2</v>
      </c>
      <c r="B205" s="306"/>
      <c r="C205" s="306"/>
      <c r="D205" s="306">
        <f t="shared" ref="D205:N205" si="97">D77/(1+$D$10)^$B$8</f>
        <v>5.8888926935642845</v>
      </c>
      <c r="E205" s="306">
        <f t="shared" si="97"/>
        <v>5.8888926935642845</v>
      </c>
      <c r="F205" s="306">
        <f t="shared" si="97"/>
        <v>5.8888926935642845</v>
      </c>
      <c r="G205" s="306">
        <f t="shared" si="97"/>
        <v>5.8888926935642845</v>
      </c>
      <c r="H205" s="306">
        <f t="shared" si="97"/>
        <v>5.8888926935642845</v>
      </c>
      <c r="I205" s="306">
        <f t="shared" si="97"/>
        <v>5.8888926935642845</v>
      </c>
      <c r="J205" s="306">
        <f t="shared" si="97"/>
        <v>5.8888926935642845</v>
      </c>
      <c r="K205" s="306">
        <f t="shared" si="97"/>
        <v>5.8888926935642845</v>
      </c>
      <c r="L205" s="306">
        <f t="shared" si="97"/>
        <v>5.8888926935642845</v>
      </c>
      <c r="M205" s="306">
        <f t="shared" si="97"/>
        <v>5.8888926935642845</v>
      </c>
      <c r="N205" s="306">
        <f t="shared" si="97"/>
        <v>5.8888926935642845</v>
      </c>
    </row>
    <row r="206" spans="1:14" ht="15.75">
      <c r="A206" s="209">
        <f t="shared" si="94"/>
        <v>3</v>
      </c>
      <c r="B206" s="306"/>
      <c r="C206" s="306"/>
      <c r="D206" s="306"/>
      <c r="E206" s="306">
        <f t="shared" ref="E206:N206" si="98">E78/(1+$D$10)^$B$8</f>
        <v>5.8888926935642845</v>
      </c>
      <c r="F206" s="306">
        <f t="shared" si="98"/>
        <v>5.8888926935642845</v>
      </c>
      <c r="G206" s="306">
        <f t="shared" si="98"/>
        <v>5.8888926935642845</v>
      </c>
      <c r="H206" s="306">
        <f t="shared" si="98"/>
        <v>5.8888926935642845</v>
      </c>
      <c r="I206" s="306">
        <f t="shared" si="98"/>
        <v>5.8888926935642845</v>
      </c>
      <c r="J206" s="306">
        <f t="shared" si="98"/>
        <v>5.8888926935642845</v>
      </c>
      <c r="K206" s="306">
        <f t="shared" si="98"/>
        <v>5.8888926935642845</v>
      </c>
      <c r="L206" s="306">
        <f t="shared" si="98"/>
        <v>5.8888926935642845</v>
      </c>
      <c r="M206" s="306">
        <f t="shared" si="98"/>
        <v>5.8888926935642845</v>
      </c>
      <c r="N206" s="306">
        <f t="shared" si="98"/>
        <v>5.8888926935642845</v>
      </c>
    </row>
    <row r="207" spans="1:14" ht="15.75">
      <c r="A207" s="209">
        <f t="shared" si="94"/>
        <v>4</v>
      </c>
      <c r="B207" s="306"/>
      <c r="C207" s="306"/>
      <c r="D207" s="306"/>
      <c r="E207" s="306"/>
      <c r="F207" s="306">
        <f t="shared" ref="F207:N207" si="99">F79/(1+$D$10)^$B$8</f>
        <v>5.8888926935642845</v>
      </c>
      <c r="G207" s="306">
        <f t="shared" si="99"/>
        <v>5.8888926935642845</v>
      </c>
      <c r="H207" s="306">
        <f t="shared" si="99"/>
        <v>5.8888926935642845</v>
      </c>
      <c r="I207" s="306">
        <f t="shared" si="99"/>
        <v>5.8888926935642845</v>
      </c>
      <c r="J207" s="306">
        <f t="shared" si="99"/>
        <v>5.8888926935642845</v>
      </c>
      <c r="K207" s="306">
        <f t="shared" si="99"/>
        <v>5.8888926935642845</v>
      </c>
      <c r="L207" s="306">
        <f t="shared" si="99"/>
        <v>5.8888926935642845</v>
      </c>
      <c r="M207" s="306">
        <f t="shared" si="99"/>
        <v>5.8888926935642845</v>
      </c>
      <c r="N207" s="306">
        <f t="shared" si="99"/>
        <v>5.8888926935642845</v>
      </c>
    </row>
    <row r="208" spans="1:14" ht="15.75">
      <c r="A208" s="209">
        <f t="shared" si="94"/>
        <v>5</v>
      </c>
      <c r="B208" s="306"/>
      <c r="C208" s="306"/>
      <c r="D208" s="306"/>
      <c r="E208" s="306"/>
      <c r="F208" s="306"/>
      <c r="G208" s="306">
        <f t="shared" ref="G208:N208" si="100">G80/(1+$D$10)^$B$8</f>
        <v>5.8888926935642845</v>
      </c>
      <c r="H208" s="306">
        <f t="shared" si="100"/>
        <v>5.8888926935642845</v>
      </c>
      <c r="I208" s="306">
        <f t="shared" si="100"/>
        <v>5.8888926935642845</v>
      </c>
      <c r="J208" s="306">
        <f t="shared" si="100"/>
        <v>5.8888926935642845</v>
      </c>
      <c r="K208" s="306">
        <f t="shared" si="100"/>
        <v>5.8888926935642845</v>
      </c>
      <c r="L208" s="306">
        <f t="shared" si="100"/>
        <v>5.8888926935642845</v>
      </c>
      <c r="M208" s="306">
        <f t="shared" si="100"/>
        <v>5.8888926935642845</v>
      </c>
      <c r="N208" s="306">
        <f t="shared" si="100"/>
        <v>5.8888926935642845</v>
      </c>
    </row>
    <row r="209" spans="1:14" ht="15.75">
      <c r="A209" s="209">
        <f t="shared" si="94"/>
        <v>6</v>
      </c>
      <c r="B209" s="306"/>
      <c r="C209" s="306"/>
      <c r="D209" s="306"/>
      <c r="E209" s="306"/>
      <c r="F209" s="306"/>
      <c r="G209" s="306"/>
      <c r="H209" s="306">
        <f t="shared" ref="H209:N209" si="101">H81/(1+$D$10)^$B$8</f>
        <v>5.8888926935642845</v>
      </c>
      <c r="I209" s="306">
        <f t="shared" si="101"/>
        <v>5.8888926935642845</v>
      </c>
      <c r="J209" s="306">
        <f t="shared" si="101"/>
        <v>5.8888926935642845</v>
      </c>
      <c r="K209" s="306">
        <f t="shared" si="101"/>
        <v>5.8888926935642845</v>
      </c>
      <c r="L209" s="306">
        <f t="shared" si="101"/>
        <v>5.8888926935642845</v>
      </c>
      <c r="M209" s="306">
        <f t="shared" si="101"/>
        <v>5.8888926935642845</v>
      </c>
      <c r="N209" s="306">
        <f t="shared" si="101"/>
        <v>5.8888926935642845</v>
      </c>
    </row>
    <row r="210" spans="1:14" ht="15.75">
      <c r="A210" s="209">
        <f t="shared" si="94"/>
        <v>7</v>
      </c>
      <c r="B210" s="306"/>
      <c r="C210" s="306"/>
      <c r="D210" s="306"/>
      <c r="E210" s="306"/>
      <c r="F210" s="306"/>
      <c r="G210" s="306"/>
      <c r="H210" s="306"/>
      <c r="I210" s="306">
        <f t="shared" ref="I210:N210" si="102">I82/(1+$D$10)^$B$8</f>
        <v>5.8888926935642845</v>
      </c>
      <c r="J210" s="306">
        <f t="shared" si="102"/>
        <v>5.8888926935642845</v>
      </c>
      <c r="K210" s="306">
        <f t="shared" si="102"/>
        <v>5.8888926935642845</v>
      </c>
      <c r="L210" s="306">
        <f t="shared" si="102"/>
        <v>5.8888926935642845</v>
      </c>
      <c r="M210" s="306">
        <f t="shared" si="102"/>
        <v>5.8888926935642845</v>
      </c>
      <c r="N210" s="306">
        <f t="shared" si="102"/>
        <v>5.8888926935642845</v>
      </c>
    </row>
    <row r="211" spans="1:14" ht="15.75">
      <c r="A211" s="209">
        <f t="shared" si="94"/>
        <v>8</v>
      </c>
      <c r="B211" s="306"/>
      <c r="C211" s="306"/>
      <c r="D211" s="306"/>
      <c r="E211" s="306"/>
      <c r="F211" s="306"/>
      <c r="G211" s="306"/>
      <c r="H211" s="306"/>
      <c r="I211" s="306"/>
      <c r="J211" s="306">
        <f>J83/(1+$D$10)^$B$8</f>
        <v>5.8888926935642845</v>
      </c>
      <c r="K211" s="306">
        <f>K83/(1+$D$10)^$B$8</f>
        <v>5.8888926935642845</v>
      </c>
      <c r="L211" s="306">
        <f>L83/(1+$D$10)^$B$8</f>
        <v>5.8888926935642845</v>
      </c>
      <c r="M211" s="306">
        <f>M83/(1+$D$10)^$B$8</f>
        <v>5.8888926935642845</v>
      </c>
      <c r="N211" s="306">
        <f>N83/(1+$D$10)^$B$8</f>
        <v>5.8888926935642845</v>
      </c>
    </row>
    <row r="212" spans="1:14" ht="15.75">
      <c r="A212" s="209">
        <f t="shared" si="94"/>
        <v>9</v>
      </c>
      <c r="B212" s="306"/>
      <c r="C212" s="306"/>
      <c r="D212" s="306"/>
      <c r="E212" s="306"/>
      <c r="F212" s="306"/>
      <c r="G212" s="306"/>
      <c r="H212" s="306"/>
      <c r="I212" s="306"/>
      <c r="J212" s="306"/>
      <c r="K212" s="306">
        <f>K84/(1+$D$10)^$B$8</f>
        <v>5.8888926935642845</v>
      </c>
      <c r="L212" s="306">
        <f>L84/(1+$D$10)^$B$8</f>
        <v>5.8888926935642845</v>
      </c>
      <c r="M212" s="306">
        <f>M84/(1+$D$10)^$B$8</f>
        <v>5.8888926935642845</v>
      </c>
      <c r="N212" s="306">
        <f>N84/(1+$D$10)^$B$8</f>
        <v>5.8888926935642845</v>
      </c>
    </row>
    <row r="213" spans="1:14" ht="15.75">
      <c r="A213" s="209">
        <f t="shared" si="94"/>
        <v>10</v>
      </c>
      <c r="B213" s="306"/>
      <c r="C213" s="306"/>
      <c r="D213" s="306"/>
      <c r="E213" s="306"/>
      <c r="F213" s="306"/>
      <c r="G213" s="306"/>
      <c r="H213" s="306"/>
      <c r="I213" s="306"/>
      <c r="J213" s="306"/>
      <c r="K213" s="306"/>
      <c r="L213" s="306">
        <f>L85/(1+$D$10)^$B$8</f>
        <v>5.8888926935642845</v>
      </c>
      <c r="M213" s="306">
        <f>M85/(1+$D$10)^$B$8</f>
        <v>5.8888926935642845</v>
      </c>
      <c r="N213" s="306">
        <f>N85/(1+$D$10)^$B$8</f>
        <v>5.8888926935642845</v>
      </c>
    </row>
    <row r="214" spans="1:14" ht="15.75">
      <c r="A214" s="209">
        <f t="shared" si="94"/>
        <v>11</v>
      </c>
      <c r="B214" s="306"/>
      <c r="C214" s="306"/>
      <c r="D214" s="306"/>
      <c r="E214" s="306"/>
      <c r="F214" s="306"/>
      <c r="G214" s="306"/>
      <c r="H214" s="306"/>
      <c r="I214" s="306"/>
      <c r="J214" s="306"/>
      <c r="K214" s="306"/>
      <c r="L214" s="306"/>
      <c r="M214" s="306">
        <f>M86/(1+$D$10)^$B$8</f>
        <v>5.8888926935642845</v>
      </c>
      <c r="N214" s="306">
        <f>N86/(1+$D$10)^$B$8</f>
        <v>5.8888926935642845</v>
      </c>
    </row>
    <row r="215" spans="1:14" ht="15.75">
      <c r="A215" s="209">
        <f t="shared" si="94"/>
        <v>12</v>
      </c>
      <c r="B215" s="306"/>
      <c r="C215" s="306"/>
      <c r="D215" s="306"/>
      <c r="E215" s="306"/>
      <c r="F215" s="306"/>
      <c r="G215" s="306"/>
      <c r="H215" s="306"/>
      <c r="I215" s="306"/>
      <c r="J215" s="306"/>
      <c r="K215" s="306"/>
      <c r="L215" s="306"/>
      <c r="M215" s="306"/>
      <c r="N215" s="306">
        <f>N87/(1+$D$10)^$B$8</f>
        <v>5.8888926935642845</v>
      </c>
    </row>
    <row r="216" spans="1:14">
      <c r="A216" s="291"/>
    </row>
    <row r="218" spans="1:14" ht="15.75">
      <c r="A218" s="288" t="s">
        <v>164</v>
      </c>
      <c r="B218" s="185"/>
      <c r="C218" s="185"/>
      <c r="D218" s="185"/>
      <c r="E218" s="185"/>
      <c r="F218" s="185"/>
      <c r="G218" s="185"/>
      <c r="H218" s="185"/>
      <c r="I218" s="185"/>
      <c r="J218" s="185"/>
      <c r="K218" s="185"/>
      <c r="L218" s="185"/>
      <c r="M218" s="185"/>
      <c r="N218" s="185"/>
    </row>
    <row r="219" spans="1:14" ht="15.75">
      <c r="A219" s="217" t="str">
        <f t="shared" ref="A219:N219" si="103">A201</f>
        <v>Period ("j"):</v>
      </c>
      <c r="B219" s="185">
        <f t="shared" si="103"/>
        <v>0</v>
      </c>
      <c r="C219" s="185">
        <f t="shared" si="103"/>
        <v>1</v>
      </c>
      <c r="D219" s="185">
        <f t="shared" si="103"/>
        <v>2</v>
      </c>
      <c r="E219" s="185">
        <f t="shared" si="103"/>
        <v>3</v>
      </c>
      <c r="F219" s="185">
        <f t="shared" si="103"/>
        <v>4</v>
      </c>
      <c r="G219" s="185">
        <f t="shared" si="103"/>
        <v>5</v>
      </c>
      <c r="H219" s="185">
        <f t="shared" si="103"/>
        <v>6</v>
      </c>
      <c r="I219" s="185">
        <f t="shared" si="103"/>
        <v>7</v>
      </c>
      <c r="J219" s="185">
        <f t="shared" si="103"/>
        <v>8</v>
      </c>
      <c r="K219" s="185">
        <f t="shared" si="103"/>
        <v>9</v>
      </c>
      <c r="L219" s="185">
        <f t="shared" si="103"/>
        <v>10</v>
      </c>
      <c r="M219" s="185">
        <f t="shared" si="103"/>
        <v>11</v>
      </c>
      <c r="N219" s="217" t="str">
        <f t="shared" si="103"/>
        <v>n = 12</v>
      </c>
    </row>
    <row r="220" spans="1:14" ht="15.75">
      <c r="A220" s="209" t="str">
        <f t="shared" ref="A220:A233" si="104">A202</f>
        <v>"down" moves ("i"):</v>
      </c>
      <c r="B220" s="185" t="s">
        <v>170</v>
      </c>
      <c r="C220" s="185"/>
      <c r="D220" s="185"/>
      <c r="E220" s="185"/>
      <c r="F220" s="185"/>
      <c r="G220" s="185"/>
      <c r="H220" s="185"/>
      <c r="I220" s="185"/>
      <c r="J220" s="185"/>
      <c r="K220" s="185"/>
      <c r="L220" s="185"/>
      <c r="M220" s="185"/>
      <c r="N220" s="185"/>
    </row>
    <row r="221" spans="1:14" ht="15.75">
      <c r="A221" s="209">
        <f t="shared" si="104"/>
        <v>0</v>
      </c>
      <c r="B221" s="196">
        <f t="shared" ref="B221:M221" si="105">MAX(B185-B203,(1/(1+$D$4))*(($D$11*C221+(1-$D$11)*C222)-((C221-C222)/((1+$D$9)-1/(1+$D$9)))*($D$5-$D$4)))</f>
        <v>3.4630880095935668</v>
      </c>
      <c r="C221" s="196">
        <f t="shared" si="105"/>
        <v>4.559090798773334</v>
      </c>
      <c r="D221" s="196">
        <f t="shared" si="105"/>
        <v>5.7835393313755832</v>
      </c>
      <c r="E221" s="196">
        <f t="shared" si="105"/>
        <v>7.1514867707373382</v>
      </c>
      <c r="F221" s="196">
        <f t="shared" si="105"/>
        <v>8.6797504315050631</v>
      </c>
      <c r="G221" s="196">
        <f t="shared" si="105"/>
        <v>10.38711852885892</v>
      </c>
      <c r="H221" s="196">
        <f t="shared" si="105"/>
        <v>12.294581157655145</v>
      </c>
      <c r="I221" s="196">
        <f t="shared" si="105"/>
        <v>14.425588341105005</v>
      </c>
      <c r="J221" s="196">
        <f t="shared" si="105"/>
        <v>16.806338321397305</v>
      </c>
      <c r="K221" s="196">
        <f t="shared" si="105"/>
        <v>19.466099636460534</v>
      </c>
      <c r="L221" s="196">
        <f t="shared" si="105"/>
        <v>22.437570942421988</v>
      </c>
      <c r="M221" s="196">
        <f t="shared" si="105"/>
        <v>25.757283005360378</v>
      </c>
      <c r="N221" s="196">
        <f t="shared" ref="N221:N233" si="106">MAX(N185-N203,0)</f>
        <v>29.466047804370564</v>
      </c>
    </row>
    <row r="222" spans="1:14" ht="15.75">
      <c r="A222" s="209">
        <f t="shared" si="104"/>
        <v>1</v>
      </c>
      <c r="B222" s="185"/>
      <c r="C222" s="196">
        <f t="shared" ref="C222:M222" si="107">MAX(C186-C204,(1/(1+$D$4))*(($D$11*D222+(1-$D$11)*D223)-((D222-D223)/((1+$D$9)-1/(1+$D$9)))*($D$5-$D$4)))</f>
        <v>2.4423926817293324</v>
      </c>
      <c r="D222" s="196">
        <f t="shared" si="107"/>
        <v>3.3243708109536643</v>
      </c>
      <c r="E222" s="196">
        <f t="shared" si="107"/>
        <v>4.4041166764461108</v>
      </c>
      <c r="F222" s="196">
        <f t="shared" si="107"/>
        <v>5.6104030596906354</v>
      </c>
      <c r="G222" s="196">
        <f t="shared" si="107"/>
        <v>6.9580598416293258</v>
      </c>
      <c r="H222" s="196">
        <f t="shared" si="107"/>
        <v>8.4636548869952577</v>
      </c>
      <c r="I222" s="196">
        <f t="shared" si="107"/>
        <v>10.145697726841682</v>
      </c>
      <c r="J222" s="196">
        <f t="shared" si="107"/>
        <v>12.024867111588804</v>
      </c>
      <c r="K222" s="196">
        <f t="shared" si="107"/>
        <v>14.124265232086916</v>
      </c>
      <c r="L222" s="196">
        <f t="shared" si="107"/>
        <v>16.469701734046584</v>
      </c>
      <c r="M222" s="196">
        <f t="shared" si="107"/>
        <v>19.090011017461396</v>
      </c>
      <c r="N222" s="196">
        <f t="shared" si="106"/>
        <v>22.017406721848669</v>
      </c>
    </row>
    <row r="223" spans="1:14" ht="15.75">
      <c r="A223" s="209">
        <f t="shared" si="104"/>
        <v>2</v>
      </c>
      <c r="B223" s="185"/>
      <c r="C223" s="185"/>
      <c r="D223" s="196">
        <f t="shared" ref="D223:M223" si="108">MAX(D187-D205,(1/(1+$D$4))*(($D$11*E223+(1-$D$11)*E224)-((E223-E224)/((1+$D$9)-1/(1+$D$9)))*($D$5-$D$4)))</f>
        <v>1.6367441218324486</v>
      </c>
      <c r="E223" s="196">
        <f t="shared" si="108"/>
        <v>2.310301537830322</v>
      </c>
      <c r="F223" s="196">
        <f t="shared" si="108"/>
        <v>3.1877111936763951</v>
      </c>
      <c r="G223" s="196">
        <f t="shared" si="108"/>
        <v>4.2514412731596218</v>
      </c>
      <c r="H223" s="196">
        <f t="shared" si="108"/>
        <v>5.4398349047879409</v>
      </c>
      <c r="I223" s="196">
        <f t="shared" si="108"/>
        <v>6.7675019990388163</v>
      </c>
      <c r="J223" s="196">
        <f t="shared" si="108"/>
        <v>8.2507646708030009</v>
      </c>
      <c r="K223" s="196">
        <f t="shared" si="108"/>
        <v>9.9078579007066843</v>
      </c>
      <c r="L223" s="196">
        <f t="shared" si="108"/>
        <v>11.759153712881748</v>
      </c>
      <c r="M223" s="196">
        <f t="shared" si="108"/>
        <v>13.827411625187697</v>
      </c>
      <c r="N223" s="196">
        <f t="shared" si="106"/>
        <v>16.13805845087807</v>
      </c>
    </row>
    <row r="224" spans="1:14" ht="15.75">
      <c r="A224" s="209">
        <f t="shared" si="104"/>
        <v>3</v>
      </c>
      <c r="B224" s="185"/>
      <c r="C224" s="185"/>
      <c r="D224" s="185"/>
      <c r="E224" s="196">
        <f t="shared" ref="E224:M224" si="109">MAX(E188-E206,(1/(1+$D$4))*(($D$11*F224+(1-$D$11)*F225)-((F224-F225)/((1+$D$9)-1/(1+$D$9)))*($D$5-$D$4)))</f>
        <v>1.0203781826530105</v>
      </c>
      <c r="F224" s="196">
        <f t="shared" si="109"/>
        <v>1.5082507378031931</v>
      </c>
      <c r="G224" s="196">
        <f t="shared" si="109"/>
        <v>2.1746993846084397</v>
      </c>
      <c r="H224" s="196">
        <f t="shared" si="109"/>
        <v>3.0530786378182642</v>
      </c>
      <c r="I224" s="196">
        <f t="shared" si="109"/>
        <v>4.1010304921940444</v>
      </c>
      <c r="J224" s="196">
        <f t="shared" si="109"/>
        <v>5.2717967739920431</v>
      </c>
      <c r="K224" s="196">
        <f t="shared" si="109"/>
        <v>6.5797706860298009</v>
      </c>
      <c r="L224" s="196">
        <f t="shared" si="109"/>
        <v>8.0410322385439414</v>
      </c>
      <c r="M224" s="196">
        <f t="shared" si="109"/>
        <v>9.6735459341186285</v>
      </c>
      <c r="N224" s="196">
        <f t="shared" si="106"/>
        <v>11.497381620244461</v>
      </c>
    </row>
    <row r="225" spans="1:14" ht="15.75">
      <c r="A225" s="209">
        <f t="shared" si="104"/>
        <v>4</v>
      </c>
      <c r="B225" s="185"/>
      <c r="C225" s="185"/>
      <c r="D225" s="185"/>
      <c r="E225" s="185"/>
      <c r="F225" s="196">
        <f t="shared" ref="F225:M225" si="110">MAX(F189-F207,(1/(1+$D$4))*(($D$11*G225+(1-$D$11)*G226)-((G225-G226)/((1+$D$9)-1/(1+$D$9)))*($D$5-$D$4)))</f>
        <v>0.57313514628086415</v>
      </c>
      <c r="G225" s="196">
        <f t="shared" si="110"/>
        <v>0.89785422410606541</v>
      </c>
      <c r="H225" s="196">
        <f t="shared" si="110"/>
        <v>1.3710967717972224</v>
      </c>
      <c r="I225" s="196">
        <f t="shared" si="110"/>
        <v>2.033812150806201</v>
      </c>
      <c r="J225" s="196">
        <f t="shared" si="110"/>
        <v>2.9204430761357143</v>
      </c>
      <c r="K225" s="196">
        <f t="shared" si="110"/>
        <v>3.9528507425835402</v>
      </c>
      <c r="L225" s="196">
        <f t="shared" si="110"/>
        <v>5.1062511396531596</v>
      </c>
      <c r="M225" s="196">
        <f t="shared" si="110"/>
        <v>6.3948239769099695</v>
      </c>
      <c r="N225" s="196">
        <f t="shared" si="106"/>
        <v>7.8344107510558763</v>
      </c>
    </row>
    <row r="226" spans="1:14" ht="15.75">
      <c r="A226" s="209">
        <f t="shared" si="104"/>
        <v>5</v>
      </c>
      <c r="B226" s="185"/>
      <c r="C226" s="185"/>
      <c r="D226" s="185"/>
      <c r="E226" s="185"/>
      <c r="F226" s="185"/>
      <c r="G226" s="196">
        <f t="shared" ref="G226:M226" si="111">MAX(G190-G208,(1/(1+$D$4))*(($D$11*H226+(1-$D$11)*H227)-((H226-H227)/((1+$D$9)-1/(1+$D$9)))*($D$5-$D$4)))</f>
        <v>0.27494768651824564</v>
      </c>
      <c r="H226" s="196">
        <f t="shared" si="111"/>
        <v>0.46358001917174341</v>
      </c>
      <c r="I226" s="196">
        <f t="shared" si="111"/>
        <v>0.76349956546670084</v>
      </c>
      <c r="J226" s="196">
        <f t="shared" si="111"/>
        <v>1.2218832714509305</v>
      </c>
      <c r="K226" s="196">
        <f t="shared" si="111"/>
        <v>1.8873090553964087</v>
      </c>
      <c r="L226" s="196">
        <f t="shared" si="111"/>
        <v>2.7897748873702666</v>
      </c>
      <c r="M226" s="196">
        <f t="shared" si="111"/>
        <v>3.8068689316144431</v>
      </c>
      <c r="N226" s="196">
        <f t="shared" si="106"/>
        <v>4.9431610307662064</v>
      </c>
    </row>
    <row r="227" spans="1:14" ht="15.75">
      <c r="A227" s="209">
        <f t="shared" si="104"/>
        <v>6</v>
      </c>
      <c r="B227" s="185"/>
      <c r="C227" s="185"/>
      <c r="D227" s="185"/>
      <c r="E227" s="185"/>
      <c r="F227" s="185"/>
      <c r="G227" s="185"/>
      <c r="H227" s="196">
        <f t="shared" ref="H227:M227" si="112">MAX(H191-H209,(1/(1+$D$4))*(($D$11*I227+(1-$D$11)*I228)-((I227-I228)/((1+$D$9)-1/(1+$D$9)))*($D$5-$D$4)))</f>
        <v>0.10144847145599896</v>
      </c>
      <c r="I227" s="196">
        <f t="shared" si="112"/>
        <v>0.18784893276664166</v>
      </c>
      <c r="J227" s="196">
        <f t="shared" si="112"/>
        <v>0.342349286212354</v>
      </c>
      <c r="K227" s="196">
        <f t="shared" si="112"/>
        <v>0.61105531364749344</v>
      </c>
      <c r="L227" s="196">
        <f t="shared" si="112"/>
        <v>1.0599987487892786</v>
      </c>
      <c r="M227" s="196">
        <f t="shared" si="112"/>
        <v>1.7641488096030891</v>
      </c>
      <c r="N227" s="196">
        <f t="shared" si="106"/>
        <v>2.6610448896332484</v>
      </c>
    </row>
    <row r="228" spans="1:14" ht="15.75">
      <c r="A228" s="209">
        <f t="shared" si="104"/>
        <v>7</v>
      </c>
      <c r="B228" s="185"/>
      <c r="C228" s="185"/>
      <c r="D228" s="185"/>
      <c r="E228" s="185"/>
      <c r="F228" s="185"/>
      <c r="G228" s="185"/>
      <c r="H228" s="185"/>
      <c r="I228" s="196">
        <f>MAX(I192-I210,(1/(1+$D$4))*(($D$11*J228+(1-$D$11)*J229)-((J228-J229)/((1+$D$9)-1/(1+$D$9)))*($D$5-$D$4)))</f>
        <v>2.1861571481237508E-2</v>
      </c>
      <c r="J228" s="196">
        <f>MAX(J192-J210,(1/(1+$D$4))*(($D$11*K228+(1-$D$11)*K229)-((K228-K229)/((1+$D$9)-1/(1+$D$9)))*($D$5-$D$4)))</f>
        <v>4.5563535565388578E-2</v>
      </c>
      <c r="K228" s="196">
        <f>MAX(K192-K210,(1/(1+$D$4))*(($D$11*L228+(1-$D$11)*L229)-((L228-L229)/((1+$D$9)-1/(1+$D$9)))*($D$5-$D$4)))</f>
        <v>9.4962787784957203E-2</v>
      </c>
      <c r="L228" s="196">
        <f>MAX(L192-L210,(1/(1+$D$4))*(($D$11*M228+(1-$D$11)*M229)-((M228-M229)/((1+$D$9)-1/(1+$D$9)))*($D$5-$D$4)))</f>
        <v>0.19791991451034599</v>
      </c>
      <c r="M228" s="196">
        <f>MAX(M192-M210,(1/(1+$D$4))*(($D$11*N228+(1-$D$11)*N229)-((N228-N229)/((1+$D$9)-1/(1+$D$9)))*($D$5-$D$4)))</f>
        <v>0.41250150162491167</v>
      </c>
      <c r="N228" s="196">
        <f t="shared" si="106"/>
        <v>0.85972899323333252</v>
      </c>
    </row>
    <row r="229" spans="1:14" ht="15.75">
      <c r="A229" s="209">
        <f t="shared" si="104"/>
        <v>8</v>
      </c>
      <c r="B229" s="185"/>
      <c r="C229" s="185"/>
      <c r="D229" s="185"/>
      <c r="E229" s="185"/>
      <c r="F229" s="185"/>
      <c r="G229" s="185"/>
      <c r="H229" s="185"/>
      <c r="I229" s="185"/>
      <c r="J229" s="196">
        <f>MAX(J193-J211,(1/(1+$D$4))*(($D$11*K229+(1-$D$11)*K230)-((K229-K230)/((1+$D$9)-1/(1+$D$9)))*($D$5-$D$4)))</f>
        <v>0</v>
      </c>
      <c r="K229" s="196">
        <f>MAX(K193-K211,(1/(1+$D$4))*(($D$11*L229+(1-$D$11)*L230)-((L229-L230)/((1+$D$9)-1/(1+$D$9)))*($D$5-$D$4)))</f>
        <v>0</v>
      </c>
      <c r="L229" s="196">
        <f>MAX(L193-L211,(1/(1+$D$4))*(($D$11*M229+(1-$D$11)*M230)-((M229-M230)/((1+$D$9)-1/(1+$D$9)))*($D$5-$D$4)))</f>
        <v>0</v>
      </c>
      <c r="M229" s="196">
        <f>MAX(M193-M211,(1/(1+$D$4))*(($D$11*N229+(1-$D$11)*N230)-((N229-N230)/((1+$D$9)-1/(1+$D$9)))*($D$5-$D$4)))</f>
        <v>0</v>
      </c>
      <c r="N229" s="196">
        <f t="shared" si="106"/>
        <v>0</v>
      </c>
    </row>
    <row r="230" spans="1:14" ht="15.75">
      <c r="A230" s="209">
        <f t="shared" si="104"/>
        <v>9</v>
      </c>
      <c r="B230" s="185"/>
      <c r="C230" s="185"/>
      <c r="D230" s="185"/>
      <c r="E230" s="185"/>
      <c r="F230" s="185"/>
      <c r="G230" s="185"/>
      <c r="H230" s="185"/>
      <c r="I230" s="185"/>
      <c r="J230" s="185"/>
      <c r="K230" s="196">
        <f>MAX(K194-K212,(1/(1+$D$4))*(($D$11*L230+(1-$D$11)*L231)-((L230-L231)/((1+$D$9)-1/(1+$D$9)))*($D$5-$D$4)))</f>
        <v>0</v>
      </c>
      <c r="L230" s="196">
        <f>MAX(L194-L212,(1/(1+$D$4))*(($D$11*M230+(1-$D$11)*M231)-((M230-M231)/((1+$D$9)-1/(1+$D$9)))*($D$5-$D$4)))</f>
        <v>0</v>
      </c>
      <c r="M230" s="196">
        <f>MAX(M194-M212,(1/(1+$D$4))*(($D$11*N230+(1-$D$11)*N231)-((N230-N231)/((1+$D$9)-1/(1+$D$9)))*($D$5-$D$4)))</f>
        <v>0</v>
      </c>
      <c r="N230" s="196">
        <f t="shared" si="106"/>
        <v>0</v>
      </c>
    </row>
    <row r="231" spans="1:14" ht="15.75">
      <c r="A231" s="209">
        <f t="shared" si="104"/>
        <v>10</v>
      </c>
      <c r="B231" s="185"/>
      <c r="C231" s="185"/>
      <c r="D231" s="185"/>
      <c r="E231" s="185"/>
      <c r="F231" s="185"/>
      <c r="G231" s="185"/>
      <c r="H231" s="185"/>
      <c r="I231" s="185"/>
      <c r="J231" s="185"/>
      <c r="K231" s="185"/>
      <c r="L231" s="196">
        <f>MAX(L195-L213,(1/(1+$D$4))*(($D$11*M231+(1-$D$11)*M232)-((M231-M232)/((1+$D$9)-1/(1+$D$9)))*($D$5-$D$4)))</f>
        <v>0</v>
      </c>
      <c r="M231" s="196">
        <f>MAX(M195-M213,(1/(1+$D$4))*(($D$11*N231+(1-$D$11)*N232)-((N231-N232)/((1+$D$9)-1/(1+$D$9)))*($D$5-$D$4)))</f>
        <v>0</v>
      </c>
      <c r="N231" s="196">
        <f t="shared" si="106"/>
        <v>0</v>
      </c>
    </row>
    <row r="232" spans="1:14" ht="15.75">
      <c r="A232" s="209">
        <f t="shared" si="104"/>
        <v>11</v>
      </c>
      <c r="B232" s="185"/>
      <c r="C232" s="185"/>
      <c r="D232" s="185"/>
      <c r="E232" s="185"/>
      <c r="F232" s="185"/>
      <c r="G232" s="185"/>
      <c r="H232" s="185"/>
      <c r="I232" s="185"/>
      <c r="J232" s="185"/>
      <c r="K232" s="185"/>
      <c r="L232" s="185"/>
      <c r="M232" s="196">
        <f>MAX(M196-M214,(1/(1+$D$4))*(($D$11*N232+(1-$D$11)*N233)-((N232-N233)/((1+$D$9)-1/(1+$D$9)))*($D$5-$D$4)))</f>
        <v>0</v>
      </c>
      <c r="N232" s="196">
        <f t="shared" si="106"/>
        <v>0</v>
      </c>
    </row>
    <row r="233" spans="1:14" ht="15.75">
      <c r="A233" s="209">
        <f t="shared" si="104"/>
        <v>12</v>
      </c>
      <c r="B233" s="185"/>
      <c r="C233" s="185"/>
      <c r="D233" s="185"/>
      <c r="E233" s="185"/>
      <c r="F233" s="185"/>
      <c r="G233" s="185"/>
      <c r="H233" s="185"/>
      <c r="I233" s="185"/>
      <c r="J233" s="185"/>
      <c r="K233" s="185"/>
      <c r="L233" s="185"/>
      <c r="M233" s="185"/>
      <c r="N233" s="196">
        <f t="shared" si="106"/>
        <v>0</v>
      </c>
    </row>
    <row r="236" spans="1:14" ht="15.75">
      <c r="A236" s="288" t="s">
        <v>165</v>
      </c>
      <c r="C236" s="185"/>
      <c r="D236" s="185"/>
      <c r="E236" s="185"/>
      <c r="F236" s="185"/>
      <c r="G236" s="185"/>
      <c r="H236" s="185"/>
      <c r="I236" s="185"/>
      <c r="J236" s="185"/>
      <c r="K236" s="185"/>
      <c r="L236" s="185"/>
      <c r="M236" s="185"/>
      <c r="N236" s="217" t="s">
        <v>12</v>
      </c>
    </row>
    <row r="237" spans="1:14" ht="15.75">
      <c r="A237" s="289" t="s">
        <v>173</v>
      </c>
      <c r="B237" s="185">
        <v>0</v>
      </c>
      <c r="C237" s="185">
        <v>1</v>
      </c>
      <c r="D237" s="185">
        <v>2</v>
      </c>
      <c r="E237" s="185">
        <v>3</v>
      </c>
      <c r="F237" s="185">
        <v>4</v>
      </c>
      <c r="G237" s="185">
        <v>5</v>
      </c>
      <c r="H237" s="185">
        <v>6</v>
      </c>
      <c r="I237" s="185">
        <v>7</v>
      </c>
      <c r="J237" s="185">
        <v>8</v>
      </c>
      <c r="K237" s="185">
        <v>9</v>
      </c>
      <c r="L237" s="185">
        <v>10</v>
      </c>
      <c r="M237" s="185">
        <v>11</v>
      </c>
      <c r="N237" s="185">
        <v>12</v>
      </c>
    </row>
    <row r="238" spans="1:14" ht="15.75">
      <c r="A238" s="209" t="s">
        <v>10</v>
      </c>
      <c r="B238" s="185" t="s">
        <v>5</v>
      </c>
      <c r="C238" s="185"/>
      <c r="D238" s="185"/>
      <c r="E238" s="185"/>
      <c r="F238" s="185"/>
      <c r="G238" s="185"/>
      <c r="H238" s="185"/>
      <c r="I238" s="185"/>
      <c r="J238" s="185"/>
      <c r="K238" s="185"/>
      <c r="L238" s="185"/>
      <c r="M238" s="185"/>
      <c r="N238" s="185"/>
    </row>
    <row r="239" spans="1:14" ht="15.75">
      <c r="A239" s="209">
        <v>0</v>
      </c>
      <c r="B239" s="217" t="str">
        <f t="shared" ref="B239:N239" si="113">IF(B221=B185-B203,"exer","hold")</f>
        <v>exer</v>
      </c>
      <c r="C239" s="217" t="str">
        <f t="shared" si="113"/>
        <v>exer</v>
      </c>
      <c r="D239" s="217" t="str">
        <f t="shared" si="113"/>
        <v>exer</v>
      </c>
      <c r="E239" s="217" t="str">
        <f t="shared" si="113"/>
        <v>exer</v>
      </c>
      <c r="F239" s="217" t="str">
        <f t="shared" si="113"/>
        <v>exer</v>
      </c>
      <c r="G239" s="217" t="str">
        <f t="shared" si="113"/>
        <v>exer</v>
      </c>
      <c r="H239" s="217" t="str">
        <f t="shared" si="113"/>
        <v>exer</v>
      </c>
      <c r="I239" s="217" t="str">
        <f t="shared" si="113"/>
        <v>exer</v>
      </c>
      <c r="J239" s="217" t="str">
        <f t="shared" si="113"/>
        <v>exer</v>
      </c>
      <c r="K239" s="217" t="str">
        <f t="shared" si="113"/>
        <v>exer</v>
      </c>
      <c r="L239" s="217" t="str">
        <f t="shared" si="113"/>
        <v>exer</v>
      </c>
      <c r="M239" s="217" t="str">
        <f t="shared" si="113"/>
        <v>exer</v>
      </c>
      <c r="N239" s="217" t="str">
        <f t="shared" si="113"/>
        <v>exer</v>
      </c>
    </row>
    <row r="240" spans="1:14" ht="15.75">
      <c r="A240" s="209">
        <f t="shared" ref="A240:A251" si="114">1+A239</f>
        <v>1</v>
      </c>
      <c r="B240" s="217"/>
      <c r="C240" s="217" t="str">
        <f t="shared" ref="C240:N240" si="115">IF(C222=C186-C204,"exer","hold")</f>
        <v>hold</v>
      </c>
      <c r="D240" s="217" t="str">
        <f t="shared" si="115"/>
        <v>exer</v>
      </c>
      <c r="E240" s="217" t="str">
        <f t="shared" si="115"/>
        <v>exer</v>
      </c>
      <c r="F240" s="217" t="str">
        <f t="shared" si="115"/>
        <v>exer</v>
      </c>
      <c r="G240" s="217" t="str">
        <f t="shared" si="115"/>
        <v>exer</v>
      </c>
      <c r="H240" s="217" t="str">
        <f t="shared" si="115"/>
        <v>exer</v>
      </c>
      <c r="I240" s="217" t="str">
        <f t="shared" si="115"/>
        <v>exer</v>
      </c>
      <c r="J240" s="217" t="str">
        <f t="shared" si="115"/>
        <v>exer</v>
      </c>
      <c r="K240" s="217" t="str">
        <f t="shared" si="115"/>
        <v>exer</v>
      </c>
      <c r="L240" s="217" t="str">
        <f t="shared" si="115"/>
        <v>exer</v>
      </c>
      <c r="M240" s="217" t="str">
        <f t="shared" si="115"/>
        <v>exer</v>
      </c>
      <c r="N240" s="217" t="str">
        <f t="shared" si="115"/>
        <v>exer</v>
      </c>
    </row>
    <row r="241" spans="1:14" ht="15.75">
      <c r="A241" s="209">
        <f t="shared" si="114"/>
        <v>2</v>
      </c>
      <c r="B241" s="217"/>
      <c r="C241" s="217"/>
      <c r="D241" s="217" t="str">
        <f t="shared" ref="D241:N241" si="116">IF(D223=D187-D205,"exer","hold")</f>
        <v>hold</v>
      </c>
      <c r="E241" s="217" t="str">
        <f t="shared" si="116"/>
        <v>hold</v>
      </c>
      <c r="F241" s="217" t="str">
        <f t="shared" si="116"/>
        <v>exer</v>
      </c>
      <c r="G241" s="217" t="str">
        <f t="shared" si="116"/>
        <v>exer</v>
      </c>
      <c r="H241" s="217" t="str">
        <f t="shared" si="116"/>
        <v>exer</v>
      </c>
      <c r="I241" s="217" t="str">
        <f t="shared" si="116"/>
        <v>exer</v>
      </c>
      <c r="J241" s="217" t="str">
        <f t="shared" si="116"/>
        <v>exer</v>
      </c>
      <c r="K241" s="217" t="str">
        <f t="shared" si="116"/>
        <v>exer</v>
      </c>
      <c r="L241" s="217" t="str">
        <f t="shared" si="116"/>
        <v>exer</v>
      </c>
      <c r="M241" s="217" t="str">
        <f t="shared" si="116"/>
        <v>exer</v>
      </c>
      <c r="N241" s="217" t="str">
        <f t="shared" si="116"/>
        <v>exer</v>
      </c>
    </row>
    <row r="242" spans="1:14" ht="15.75">
      <c r="A242" s="209">
        <f t="shared" si="114"/>
        <v>3</v>
      </c>
      <c r="B242" s="217"/>
      <c r="C242" s="217"/>
      <c r="D242" s="217"/>
      <c r="E242" s="217" t="str">
        <f t="shared" ref="E242:N242" si="117">IF(E224=E188-E206,"exer","hold")</f>
        <v>hold</v>
      </c>
      <c r="F242" s="217" t="str">
        <f t="shared" si="117"/>
        <v>hold</v>
      </c>
      <c r="G242" s="217" t="str">
        <f t="shared" si="117"/>
        <v>hold</v>
      </c>
      <c r="H242" s="217" t="str">
        <f t="shared" si="117"/>
        <v>exer</v>
      </c>
      <c r="I242" s="217" t="str">
        <f t="shared" si="117"/>
        <v>exer</v>
      </c>
      <c r="J242" s="217" t="str">
        <f t="shared" si="117"/>
        <v>exer</v>
      </c>
      <c r="K242" s="217" t="str">
        <f t="shared" si="117"/>
        <v>exer</v>
      </c>
      <c r="L242" s="217" t="str">
        <f t="shared" si="117"/>
        <v>exer</v>
      </c>
      <c r="M242" s="217" t="str">
        <f t="shared" si="117"/>
        <v>exer</v>
      </c>
      <c r="N242" s="217" t="str">
        <f t="shared" si="117"/>
        <v>exer</v>
      </c>
    </row>
    <row r="243" spans="1:14" ht="15.75">
      <c r="A243" s="209">
        <f t="shared" si="114"/>
        <v>4</v>
      </c>
      <c r="B243" s="217"/>
      <c r="C243" s="217"/>
      <c r="D243" s="217"/>
      <c r="E243" s="217"/>
      <c r="F243" s="217" t="str">
        <f t="shared" ref="F243:N243" si="118">IF(F225=F189-F207,"exer","hold")</f>
        <v>hold</v>
      </c>
      <c r="G243" s="217" t="str">
        <f t="shared" si="118"/>
        <v>hold</v>
      </c>
      <c r="H243" s="217" t="str">
        <f t="shared" si="118"/>
        <v>hold</v>
      </c>
      <c r="I243" s="217" t="str">
        <f t="shared" si="118"/>
        <v>hold</v>
      </c>
      <c r="J243" s="217" t="str">
        <f t="shared" si="118"/>
        <v>exer</v>
      </c>
      <c r="K243" s="217" t="str">
        <f t="shared" si="118"/>
        <v>exer</v>
      </c>
      <c r="L243" s="217" t="str">
        <f t="shared" si="118"/>
        <v>exer</v>
      </c>
      <c r="M243" s="217" t="str">
        <f t="shared" si="118"/>
        <v>exer</v>
      </c>
      <c r="N243" s="217" t="str">
        <f t="shared" si="118"/>
        <v>exer</v>
      </c>
    </row>
    <row r="244" spans="1:14" ht="15.75">
      <c r="A244" s="209">
        <f t="shared" si="114"/>
        <v>5</v>
      </c>
      <c r="B244" s="217"/>
      <c r="C244" s="217"/>
      <c r="D244" s="217"/>
      <c r="E244" s="217"/>
      <c r="F244" s="217"/>
      <c r="G244" s="217" t="str">
        <f t="shared" ref="G244:N244" si="119">IF(G226=G190-G208,"exer","hold")</f>
        <v>hold</v>
      </c>
      <c r="H244" s="217" t="str">
        <f t="shared" si="119"/>
        <v>hold</v>
      </c>
      <c r="I244" s="217" t="str">
        <f t="shared" si="119"/>
        <v>hold</v>
      </c>
      <c r="J244" s="217" t="str">
        <f t="shared" si="119"/>
        <v>hold</v>
      </c>
      <c r="K244" s="217" t="str">
        <f t="shared" si="119"/>
        <v>hold</v>
      </c>
      <c r="L244" s="217" t="str">
        <f t="shared" si="119"/>
        <v>exer</v>
      </c>
      <c r="M244" s="217" t="str">
        <f t="shared" si="119"/>
        <v>exer</v>
      </c>
      <c r="N244" s="217" t="str">
        <f t="shared" si="119"/>
        <v>exer</v>
      </c>
    </row>
    <row r="245" spans="1:14" ht="15.75">
      <c r="A245" s="209">
        <f t="shared" si="114"/>
        <v>6</v>
      </c>
      <c r="B245" s="217"/>
      <c r="C245" s="217"/>
      <c r="D245" s="217"/>
      <c r="E245" s="217"/>
      <c r="F245" s="217"/>
      <c r="G245" s="217"/>
      <c r="H245" s="217" t="str">
        <f t="shared" ref="H245:N245" si="120">IF(H227=H191-H209,"exer","hold")</f>
        <v>hold</v>
      </c>
      <c r="I245" s="217" t="str">
        <f t="shared" si="120"/>
        <v>hold</v>
      </c>
      <c r="J245" s="217" t="str">
        <f t="shared" si="120"/>
        <v>hold</v>
      </c>
      <c r="K245" s="217" t="str">
        <f t="shared" si="120"/>
        <v>hold</v>
      </c>
      <c r="L245" s="217" t="str">
        <f t="shared" si="120"/>
        <v>hold</v>
      </c>
      <c r="M245" s="217" t="str">
        <f t="shared" si="120"/>
        <v>exer</v>
      </c>
      <c r="N245" s="217" t="str">
        <f t="shared" si="120"/>
        <v>exer</v>
      </c>
    </row>
    <row r="246" spans="1:14" ht="15.75">
      <c r="A246" s="209">
        <f t="shared" si="114"/>
        <v>7</v>
      </c>
      <c r="B246" s="217"/>
      <c r="C246" s="217"/>
      <c r="D246" s="217"/>
      <c r="E246" s="217"/>
      <c r="F246" s="217"/>
      <c r="G246" s="217"/>
      <c r="H246" s="217"/>
      <c r="I246" s="217" t="str">
        <f t="shared" ref="I246:N246" si="121">IF(I228=I192-I210,"exer","hold")</f>
        <v>hold</v>
      </c>
      <c r="J246" s="217" t="str">
        <f t="shared" si="121"/>
        <v>hold</v>
      </c>
      <c r="K246" s="217" t="str">
        <f t="shared" si="121"/>
        <v>hold</v>
      </c>
      <c r="L246" s="217" t="str">
        <f t="shared" si="121"/>
        <v>hold</v>
      </c>
      <c r="M246" s="217" t="str">
        <f t="shared" si="121"/>
        <v>hold</v>
      </c>
      <c r="N246" s="217" t="str">
        <f t="shared" si="121"/>
        <v>exer</v>
      </c>
    </row>
    <row r="247" spans="1:14" ht="15.75">
      <c r="A247" s="209">
        <f t="shared" si="114"/>
        <v>8</v>
      </c>
      <c r="B247" s="217"/>
      <c r="C247" s="217"/>
      <c r="D247" s="217"/>
      <c r="E247" s="217"/>
      <c r="F247" s="217"/>
      <c r="G247" s="217"/>
      <c r="H247" s="217"/>
      <c r="I247" s="217"/>
      <c r="J247" s="217" t="str">
        <f>IF(J229=J193-J211,"exer","hold")</f>
        <v>hold</v>
      </c>
      <c r="K247" s="217" t="str">
        <f>IF(K229=K193-K211,"exer","hold")</f>
        <v>hold</v>
      </c>
      <c r="L247" s="217" t="str">
        <f>IF(L229=L193-L211,"exer","hold")</f>
        <v>hold</v>
      </c>
      <c r="M247" s="217" t="str">
        <f>IF(M229=M193-M211,"exer","hold")</f>
        <v>hold</v>
      </c>
      <c r="N247" s="217" t="str">
        <f>IF(N229=N193-N211,"exer","hold")</f>
        <v>hold</v>
      </c>
    </row>
    <row r="248" spans="1:14" ht="15.75">
      <c r="A248" s="209">
        <f t="shared" si="114"/>
        <v>9</v>
      </c>
      <c r="B248" s="217"/>
      <c r="C248" s="217"/>
      <c r="D248" s="217"/>
      <c r="E248" s="217"/>
      <c r="F248" s="217"/>
      <c r="G248" s="217"/>
      <c r="H248" s="217"/>
      <c r="I248" s="217"/>
      <c r="J248" s="217"/>
      <c r="K248" s="217" t="str">
        <f>IF(K230=K194-K212,"exer","hold")</f>
        <v>hold</v>
      </c>
      <c r="L248" s="217" t="str">
        <f>IF(L230=L194-L212,"exer","hold")</f>
        <v>hold</v>
      </c>
      <c r="M248" s="217" t="str">
        <f>IF(M230=M194-M212,"exer","hold")</f>
        <v>hold</v>
      </c>
      <c r="N248" s="217" t="str">
        <f>IF(N230=N194-N212,"exer","hold")</f>
        <v>hold</v>
      </c>
    </row>
    <row r="249" spans="1:14" ht="15.75">
      <c r="A249" s="209">
        <f t="shared" si="114"/>
        <v>10</v>
      </c>
      <c r="B249" s="217"/>
      <c r="C249" s="217"/>
      <c r="D249" s="217"/>
      <c r="E249" s="217"/>
      <c r="F249" s="217"/>
      <c r="G249" s="217"/>
      <c r="H249" s="217"/>
      <c r="I249" s="217"/>
      <c r="J249" s="217"/>
      <c r="K249" s="217"/>
      <c r="L249" s="217" t="str">
        <f>IF(L231=L195-L213,"exer","hold")</f>
        <v>hold</v>
      </c>
      <c r="M249" s="217" t="str">
        <f>IF(M231=M195-M213,"exer","hold")</f>
        <v>hold</v>
      </c>
      <c r="N249" s="217" t="str">
        <f>IF(N231=N195-N213,"exer","hold")</f>
        <v>hold</v>
      </c>
    </row>
    <row r="250" spans="1:14" ht="15.75">
      <c r="A250" s="209">
        <f t="shared" si="114"/>
        <v>11</v>
      </c>
      <c r="B250" s="217"/>
      <c r="C250" s="217"/>
      <c r="D250" s="217"/>
      <c r="E250" s="217"/>
      <c r="F250" s="217"/>
      <c r="G250" s="217"/>
      <c r="H250" s="217"/>
      <c r="I250" s="217"/>
      <c r="J250" s="217"/>
      <c r="K250" s="217"/>
      <c r="L250" s="217"/>
      <c r="M250" s="217" t="str">
        <f>IF(M232=M196-M214,"exer","hold")</f>
        <v>hold</v>
      </c>
      <c r="N250" s="217" t="str">
        <f>IF(N232=N196-N214,"exer","hold")</f>
        <v>hold</v>
      </c>
    </row>
    <row r="251" spans="1:14" ht="15.75">
      <c r="A251" s="209">
        <f t="shared" si="114"/>
        <v>12</v>
      </c>
      <c r="B251" s="217"/>
      <c r="C251" s="217"/>
      <c r="D251" s="217"/>
      <c r="E251" s="217"/>
      <c r="F251" s="217"/>
      <c r="G251" s="217"/>
      <c r="H251" s="217"/>
      <c r="I251" s="217"/>
      <c r="J251" s="217"/>
      <c r="K251" s="217"/>
      <c r="L251" s="217"/>
      <c r="M251" s="217"/>
      <c r="N251" s="217" t="str">
        <f>IF(N233=N197-N215,"exer","hold")</f>
        <v>hold</v>
      </c>
    </row>
    <row r="254" spans="1:14">
      <c r="B254" s="137" t="s">
        <v>69</v>
      </c>
    </row>
    <row r="255" spans="1:14">
      <c r="B255" s="137" t="s">
        <v>8</v>
      </c>
    </row>
    <row r="256" spans="1:14">
      <c r="B256" s="235" t="s">
        <v>9</v>
      </c>
    </row>
    <row r="257" spans="1:13" ht="15.75">
      <c r="B257" s="185" t="s">
        <v>11</v>
      </c>
      <c r="C257" s="185"/>
      <c r="D257" s="185"/>
      <c r="E257" s="185"/>
      <c r="F257" s="185"/>
      <c r="G257" s="185"/>
      <c r="H257" s="185"/>
      <c r="I257" s="185"/>
      <c r="J257" s="185"/>
      <c r="K257" s="185"/>
      <c r="L257" s="185"/>
      <c r="M257" s="185"/>
    </row>
    <row r="258" spans="1:13" ht="15.75">
      <c r="A258" s="288" t="s">
        <v>166</v>
      </c>
      <c r="B258" s="185">
        <v>0</v>
      </c>
      <c r="C258" s="185">
        <v>1</v>
      </c>
      <c r="D258" s="185">
        <v>2</v>
      </c>
      <c r="E258" s="185">
        <v>3</v>
      </c>
      <c r="F258" s="185">
        <v>4</v>
      </c>
      <c r="G258" s="185">
        <v>5</v>
      </c>
      <c r="H258" s="185">
        <v>6</v>
      </c>
      <c r="I258" s="185">
        <v>7</v>
      </c>
      <c r="J258" s="185">
        <v>8</v>
      </c>
      <c r="K258" s="185">
        <v>9</v>
      </c>
      <c r="L258" s="185">
        <v>10</v>
      </c>
      <c r="M258" s="185">
        <v>11</v>
      </c>
    </row>
    <row r="259" spans="1:13" ht="15.75">
      <c r="A259" s="209" t="s">
        <v>10</v>
      </c>
      <c r="B259" s="185" t="s">
        <v>28</v>
      </c>
      <c r="C259" s="185"/>
      <c r="D259" s="185"/>
      <c r="E259" s="185"/>
      <c r="F259" s="185"/>
      <c r="G259" s="185"/>
      <c r="H259" s="185"/>
      <c r="I259" s="185"/>
      <c r="J259" s="185"/>
      <c r="K259" s="185"/>
      <c r="L259" s="185"/>
      <c r="M259" s="185"/>
    </row>
    <row r="260" spans="1:13" ht="15.75">
      <c r="A260" s="209">
        <v>0</v>
      </c>
      <c r="B260" s="218">
        <f t="shared" ref="B260:M260" si="122">IF(C221&gt;0,(1+$D$4)*(($D$11*C221+(1-$D$11)*C222)/(($D$11*C221+(1-$D$11)*C222)-((C221-C222)/((1+$D$9)-1/(1+$D$9))*($D$5-$D$4))))-1,"NA")</f>
        <v>1.5429137526643322E-2</v>
      </c>
      <c r="C260" s="218">
        <f t="shared" si="122"/>
        <v>1.4032704051497147E-2</v>
      </c>
      <c r="D260" s="218">
        <f t="shared" si="122"/>
        <v>1.2642588316432501E-2</v>
      </c>
      <c r="E260" s="218">
        <f t="shared" si="122"/>
        <v>1.1654849450476901E-2</v>
      </c>
      <c r="F260" s="218">
        <f t="shared" si="122"/>
        <v>1.0920811653899243E-2</v>
      </c>
      <c r="G260" s="218">
        <f t="shared" si="122"/>
        <v>1.0356926051466875E-2</v>
      </c>
      <c r="H260" s="218">
        <f t="shared" si="122"/>
        <v>9.9126222342227344E-3</v>
      </c>
      <c r="I260" s="218">
        <f t="shared" si="122"/>
        <v>9.555492635309637E-3</v>
      </c>
      <c r="J260" s="218">
        <f t="shared" si="122"/>
        <v>9.2638061840146779E-3</v>
      </c>
      <c r="K260" s="218">
        <f t="shared" si="122"/>
        <v>9.0224433728174347E-3</v>
      </c>
      <c r="L260" s="218">
        <f t="shared" si="122"/>
        <v>8.820557598139267E-3</v>
      </c>
      <c r="M260" s="218">
        <f t="shared" si="122"/>
        <v>8.6501640196186003E-3</v>
      </c>
    </row>
    <row r="261" spans="1:13" ht="15.75">
      <c r="A261" s="209">
        <f t="shared" ref="A261:A272" si="123">1+A260</f>
        <v>1</v>
      </c>
      <c r="B261" s="185"/>
      <c r="C261" s="218">
        <f t="shared" ref="C261:M261" si="124">IF(D222&gt;0,(1+$D$4)*(($D$11*D222+(1-$D$11)*D223)/(($D$11*D222+(1-$D$11)*D223)-((D222-D223)/((1+$D$9)-1/(1+$D$9))*($D$5-$D$4))))-1,"NA")</f>
        <v>1.7069009664840928E-2</v>
      </c>
      <c r="D261" s="218">
        <f t="shared" si="124"/>
        <v>1.5841035401773951E-2</v>
      </c>
      <c r="E261" s="218">
        <f t="shared" si="124"/>
        <v>1.4264123237887283E-2</v>
      </c>
      <c r="F261" s="218">
        <f t="shared" si="124"/>
        <v>1.2802123069882931E-2</v>
      </c>
      <c r="G261" s="218">
        <f t="shared" si="124"/>
        <v>1.1770839617251783E-2</v>
      </c>
      <c r="H261" s="218">
        <f t="shared" si="124"/>
        <v>1.1008456576700354E-2</v>
      </c>
      <c r="I261" s="218">
        <f t="shared" si="124"/>
        <v>1.042510508519312E-2</v>
      </c>
      <c r="J261" s="218">
        <f t="shared" si="124"/>
        <v>9.9668691032404055E-3</v>
      </c>
      <c r="K261" s="218">
        <f t="shared" si="124"/>
        <v>9.5994353157451418E-3</v>
      </c>
      <c r="L261" s="218">
        <f t="shared" si="124"/>
        <v>9.2999223489165228E-3</v>
      </c>
      <c r="M261" s="218">
        <f t="shared" si="124"/>
        <v>9.0524829531328788E-3</v>
      </c>
    </row>
    <row r="262" spans="1:13" ht="15.75">
      <c r="A262" s="209">
        <f t="shared" si="123"/>
        <v>2</v>
      </c>
      <c r="B262" s="185"/>
      <c r="C262" s="185"/>
      <c r="D262" s="218">
        <f t="shared" ref="D262:M262" si="125">IF(E223&gt;0,(1+$D$4)*(($D$11*E223+(1-$D$11)*E224)/(($D$11*E223+(1-$D$11)*E224)-((E223-E224)/((1+$D$9)-1/(1+$D$9))*($D$5-$D$4))))-1,"NA")</f>
        <v>1.9116985950254906E-2</v>
      </c>
      <c r="E262" s="218">
        <f t="shared" si="125"/>
        <v>1.7827462129663463E-2</v>
      </c>
      <c r="F262" s="218">
        <f t="shared" si="125"/>
        <v>1.6331878046167425E-2</v>
      </c>
      <c r="G262" s="218">
        <f t="shared" si="125"/>
        <v>1.4508722494930515E-2</v>
      </c>
      <c r="H262" s="218">
        <f t="shared" si="125"/>
        <v>1.2969275715387862E-2</v>
      </c>
      <c r="I262" s="218">
        <f t="shared" si="125"/>
        <v>1.1891621179374035E-2</v>
      </c>
      <c r="J262" s="218">
        <f t="shared" si="125"/>
        <v>1.1099306876817705E-2</v>
      </c>
      <c r="K262" s="218">
        <f t="shared" si="125"/>
        <v>1.0495531507215716E-2</v>
      </c>
      <c r="L262" s="218">
        <f t="shared" si="125"/>
        <v>1.0022750801276459E-2</v>
      </c>
      <c r="M262" s="218">
        <f t="shared" si="125"/>
        <v>9.6446029568966196E-3</v>
      </c>
    </row>
    <row r="263" spans="1:13" ht="15.75">
      <c r="A263" s="209">
        <f t="shared" si="123"/>
        <v>3</v>
      </c>
      <c r="B263" s="185"/>
      <c r="C263" s="185"/>
      <c r="D263" s="185"/>
      <c r="E263" s="218">
        <f t="shared" ref="E263:M263" si="126">IF(F224&gt;0,(1+$D$4)*(($D$11*F224+(1-$D$11)*F225)/(($D$11*F224+(1-$D$11)*F225)-((F224-F225)/((1+$D$9)-1/(1+$D$9))*($D$5-$D$4))))-1,"NA")</f>
        <v>2.1822942900764142E-2</v>
      </c>
      <c r="F263" s="218">
        <f t="shared" si="126"/>
        <v>2.0349819333518093E-2</v>
      </c>
      <c r="G263" s="218">
        <f t="shared" si="126"/>
        <v>1.8807643698301124E-2</v>
      </c>
      <c r="H263" s="218">
        <f t="shared" si="126"/>
        <v>1.6929864283502738E-2</v>
      </c>
      <c r="I263" s="218">
        <f t="shared" si="126"/>
        <v>1.4767631039553253E-2</v>
      </c>
      <c r="J263" s="218">
        <f t="shared" si="126"/>
        <v>1.3144585183548774E-2</v>
      </c>
      <c r="K263" s="218">
        <f t="shared" si="126"/>
        <v>1.2017482936560464E-2</v>
      </c>
      <c r="L263" s="218">
        <f t="shared" si="126"/>
        <v>1.1193530954275221E-2</v>
      </c>
      <c r="M263" s="218">
        <f t="shared" si="126"/>
        <v>1.0568310037866402E-2</v>
      </c>
    </row>
    <row r="264" spans="1:13" ht="15.75">
      <c r="A264" s="209">
        <f t="shared" si="123"/>
        <v>4</v>
      </c>
      <c r="B264" s="185"/>
      <c r="C264" s="185"/>
      <c r="D264" s="185"/>
      <c r="E264" s="185"/>
      <c r="F264" s="218">
        <f t="shared" ref="F264:M264" si="127">IF(G225&gt;0,(1+$D$4)*(($D$11*G225+(1-$D$11)*G226)/(($D$11*G225+(1-$D$11)*G226)-((G225-G226)/((1+$D$9)-1/(1+$D$9))*($D$5-$D$4))))-1,"NA")</f>
        <v>2.5415797926217731E-2</v>
      </c>
      <c r="G264" s="218">
        <f t="shared" si="127"/>
        <v>2.3811693275667789E-2</v>
      </c>
      <c r="H264" s="218">
        <f t="shared" si="127"/>
        <v>2.2034919635431471E-2</v>
      </c>
      <c r="I264" s="218">
        <f t="shared" si="127"/>
        <v>2.0109180346777444E-2</v>
      </c>
      <c r="J264" s="218">
        <f t="shared" si="127"/>
        <v>1.7655421883453037E-2</v>
      </c>
      <c r="K264" s="218">
        <f t="shared" si="127"/>
        <v>1.5042110794313279E-2</v>
      </c>
      <c r="L264" s="218">
        <f t="shared" si="127"/>
        <v>1.3328642402882229E-2</v>
      </c>
      <c r="M264" s="218">
        <f t="shared" si="127"/>
        <v>1.214873732024091E-2</v>
      </c>
    </row>
    <row r="265" spans="1:13" ht="15.75">
      <c r="A265" s="209">
        <f t="shared" si="123"/>
        <v>5</v>
      </c>
      <c r="B265" s="185"/>
      <c r="C265" s="185"/>
      <c r="D265" s="185"/>
      <c r="E265" s="185"/>
      <c r="F265" s="185"/>
      <c r="G265" s="218">
        <f t="shared" ref="G265:M265" si="128">IF(H226&gt;0,(1+$D$4)*(($D$11*H226+(1-$D$11)*H227)/(($D$11*H226+(1-$D$11)*H227)-((H226-H227)/((1+$D$9)-1/(1+$D$9))*($D$5-$D$4))))-1,"NA")</f>
        <v>3.0270610513858154E-2</v>
      </c>
      <c r="H265" s="218">
        <f t="shared" si="128"/>
        <v>2.8682035879274759E-2</v>
      </c>
      <c r="I265" s="218">
        <f t="shared" si="128"/>
        <v>2.6789186386088737E-2</v>
      </c>
      <c r="J265" s="218">
        <f t="shared" si="128"/>
        <v>2.4522998327310086E-2</v>
      </c>
      <c r="K265" s="218">
        <f t="shared" si="128"/>
        <v>2.18248447985252E-2</v>
      </c>
      <c r="L265" s="218">
        <f t="shared" si="128"/>
        <v>1.8219923692041062E-2</v>
      </c>
      <c r="M265" s="218">
        <f t="shared" si="128"/>
        <v>1.5333576474155564E-2</v>
      </c>
    </row>
    <row r="266" spans="1:13" ht="15.75">
      <c r="A266" s="209">
        <f t="shared" si="123"/>
        <v>6</v>
      </c>
      <c r="B266" s="185"/>
      <c r="C266" s="185"/>
      <c r="D266" s="185"/>
      <c r="E266" s="185"/>
      <c r="F266" s="185"/>
      <c r="G266" s="185"/>
      <c r="H266" s="218">
        <f t="shared" ref="H266:M266" si="129">IF(I227&gt;0,(1+$D$4)*(($D$11*I227+(1-$D$11)*I228)/(($D$11*I227+(1-$D$11)*I228)-((I227-I228)/((1+$D$9)-1/(1+$D$9))*($D$5-$D$4))))-1,"NA")</f>
        <v>3.6998375866573285E-2</v>
      </c>
      <c r="I266" s="218">
        <f t="shared" si="129"/>
        <v>3.5812210340131712E-2</v>
      </c>
      <c r="J266" s="218">
        <f t="shared" si="129"/>
        <v>3.428537059204162E-2</v>
      </c>
      <c r="K266" s="218">
        <f t="shared" si="129"/>
        <v>3.224648084144488E-2</v>
      </c>
      <c r="L266" s="218">
        <f t="shared" si="129"/>
        <v>2.9386060254428026E-2</v>
      </c>
      <c r="M266" s="218">
        <f t="shared" si="129"/>
        <v>2.455769989413259E-2</v>
      </c>
    </row>
    <row r="267" spans="1:13" ht="15.75">
      <c r="A267" s="209">
        <f t="shared" si="123"/>
        <v>7</v>
      </c>
      <c r="B267" s="185"/>
      <c r="C267" s="185"/>
      <c r="D267" s="185"/>
      <c r="E267" s="185"/>
      <c r="F267" s="185"/>
      <c r="G267" s="185"/>
      <c r="H267" s="185"/>
      <c r="I267" s="218">
        <f>IF(J228&gt;0,(1+$D$4)*(($D$11*J228+(1-$D$11)*J229)/(($D$11*J228+(1-$D$11)*J229)-((J228-J229)/((1+$D$9)-1/(1+$D$9))*($D$5-$D$4))))-1,"NA")</f>
        <v>4.644456558450627E-2</v>
      </c>
      <c r="J267" s="218">
        <f>IF(K228&gt;0,(1+$D$4)*(($D$11*K228+(1-$D$11)*K229)/(($D$11*K228+(1-$D$11)*K229)-((K228-K229)/((1+$D$9)-1/(1+$D$9))*($D$5-$D$4))))-1,"NA")</f>
        <v>4.6444565584506492E-2</v>
      </c>
      <c r="K267" s="218">
        <f>IF(L228&gt;0,(1+$D$4)*(($D$11*L228+(1-$D$11)*L229)/(($D$11*L228+(1-$D$11)*L229)-((L228-L229)/((1+$D$9)-1/(1+$D$9))*($D$5-$D$4))))-1,"NA")</f>
        <v>4.644456558450627E-2</v>
      </c>
      <c r="L267" s="218">
        <f>IF(M228&gt;0,(1+$D$4)*(($D$11*M228+(1-$D$11)*M229)/(($D$11*M228+(1-$D$11)*M229)-((M228-M229)/((1+$D$9)-1/(1+$D$9))*($D$5-$D$4))))-1,"NA")</f>
        <v>4.644456558450627E-2</v>
      </c>
      <c r="M267" s="218">
        <f>IF(N228&gt;0,(1+$D$4)*(($D$11*N228+(1-$D$11)*N229)/(($D$11*N228+(1-$D$11)*N229)-((N228-N229)/((1+$D$9)-1/(1+$D$9))*($D$5-$D$4))))-1,"NA")</f>
        <v>4.644456558450627E-2</v>
      </c>
    </row>
    <row r="268" spans="1:13" ht="15.75">
      <c r="A268" s="209">
        <f t="shared" si="123"/>
        <v>8</v>
      </c>
      <c r="B268" s="185"/>
      <c r="C268" s="185"/>
      <c r="D268" s="185"/>
      <c r="E268" s="185"/>
      <c r="F268" s="185"/>
      <c r="G268" s="185"/>
      <c r="H268" s="185"/>
      <c r="I268" s="185"/>
      <c r="J268" s="218" t="str">
        <f>IF(K229&gt;0,(1+$D$4)*(($D$11*K229+(1-$D$11)*K230)/(($D$11*K229+(1-$D$11)*K230)-((K229-K230)/((1+$D$9)-1/(1+$D$9))*($D$5-$D$4))))-1,"NA")</f>
        <v>NA</v>
      </c>
      <c r="K268" s="218" t="str">
        <f>IF(L229&gt;0,(1+$D$4)*(($D$11*L229+(1-$D$11)*L230)/(($D$11*L229+(1-$D$11)*L230)-((L229-L230)/((1+$D$9)-1/(1+$D$9))*($D$5-$D$4))))-1,"NA")</f>
        <v>NA</v>
      </c>
      <c r="L268" s="218" t="str">
        <f>IF(M229&gt;0,(1+$D$4)*(($D$11*M229+(1-$D$11)*M230)/(($D$11*M229+(1-$D$11)*M230)-((M229-M230)/((1+$D$9)-1/(1+$D$9))*($D$5-$D$4))))-1,"NA")</f>
        <v>NA</v>
      </c>
      <c r="M268" s="218" t="str">
        <f>IF(N229&gt;0,(1+$D$4)*(($D$11*N229+(1-$D$11)*N230)/(($D$11*N229+(1-$D$11)*N230)-((N229-N230)/((1+$D$9)-1/(1+$D$9))*($D$5-$D$4))))-1,"NA")</f>
        <v>NA</v>
      </c>
    </row>
    <row r="269" spans="1:13" ht="15.75">
      <c r="A269" s="209">
        <f t="shared" si="123"/>
        <v>9</v>
      </c>
      <c r="B269" s="185"/>
      <c r="C269" s="185"/>
      <c r="D269" s="185"/>
      <c r="E269" s="185"/>
      <c r="F269" s="185"/>
      <c r="G269" s="185"/>
      <c r="H269" s="185"/>
      <c r="I269" s="185"/>
      <c r="J269" s="217"/>
      <c r="K269" s="218" t="str">
        <f>IF(L230&gt;0,(1+$D$4)*(($D$11*L230+(1-$D$11)*L231)/(($D$11*L230+(1-$D$11)*L231)-((L230-L231)/((1+$D$9)-1/(1+$D$9))*($D$5-$D$4))))-1,"NA")</f>
        <v>NA</v>
      </c>
      <c r="L269" s="218" t="str">
        <f>IF(M230&gt;0,(1+$D$4)*(($D$11*M230+(1-$D$11)*M231)/(($D$11*M230+(1-$D$11)*M231)-((M230-M231)/((1+$D$9)-1/(1+$D$9))*($D$5-$D$4))))-1,"NA")</f>
        <v>NA</v>
      </c>
      <c r="M269" s="218" t="str">
        <f>IF(N230&gt;0,(1+$D$4)*(($D$11*N230+(1-$D$11)*N231)/(($D$11*N230+(1-$D$11)*N231)-((N230-N231)/((1+$D$9)-1/(1+$D$9))*($D$5-$D$4))))-1,"NA")</f>
        <v>NA</v>
      </c>
    </row>
    <row r="270" spans="1:13" ht="15.75">
      <c r="A270" s="209">
        <f t="shared" si="123"/>
        <v>10</v>
      </c>
      <c r="B270" s="185"/>
      <c r="C270" s="185"/>
      <c r="D270" s="185"/>
      <c r="E270" s="185"/>
      <c r="F270" s="185"/>
      <c r="G270" s="185"/>
      <c r="H270" s="185"/>
      <c r="I270" s="185"/>
      <c r="J270" s="217"/>
      <c r="K270" s="217"/>
      <c r="L270" s="218" t="str">
        <f>IF(M231&gt;0,(1+$D$4)*(($D$11*M231+(1-$D$11)*M232)/(($D$11*M231+(1-$D$11)*M232)-((M231-M232)/((1+$D$9)-1/(1+$D$9))*($D$5-$D$4))))-1,"NA")</f>
        <v>NA</v>
      </c>
      <c r="M270" s="218" t="str">
        <f>IF(N231&gt;0,(1+$D$4)*(($D$11*N231+(1-$D$11)*N232)/(($D$11*N231+(1-$D$11)*N232)-((N231-N232)/((1+$D$9)-1/(1+$D$9))*($D$5-$D$4))))-1,"NA")</f>
        <v>NA</v>
      </c>
    </row>
    <row r="271" spans="1:13" ht="15.75">
      <c r="A271" s="209">
        <f t="shared" si="123"/>
        <v>11</v>
      </c>
      <c r="B271" s="185"/>
      <c r="C271" s="185"/>
      <c r="D271" s="185"/>
      <c r="E271" s="185"/>
      <c r="F271" s="185"/>
      <c r="G271" s="185"/>
      <c r="H271" s="185"/>
      <c r="I271" s="185"/>
      <c r="J271" s="217"/>
      <c r="K271" s="217"/>
      <c r="L271" s="217"/>
      <c r="M271" s="218" t="str">
        <f>IF(N232&gt;0,(1+$D$4)*(($D$11*N232+(1-$D$11)*N233)/(($D$11*N232+(1-$D$11)*N233)-((N232-N233)/((1+$D$9)-1/(1+$D$9))*($D$5-$D$4))))-1,"NA")</f>
        <v>NA</v>
      </c>
    </row>
    <row r="272" spans="1:13" ht="15.75">
      <c r="A272" s="209">
        <f t="shared" si="123"/>
        <v>12</v>
      </c>
    </row>
    <row r="274" spans="1:13" ht="15.75">
      <c r="B274" s="185" t="s">
        <v>11</v>
      </c>
      <c r="C274" s="185"/>
      <c r="D274" s="185"/>
      <c r="E274" s="185"/>
      <c r="F274" s="185"/>
      <c r="G274" s="185"/>
      <c r="H274" s="185"/>
      <c r="I274" s="185"/>
      <c r="J274" s="185"/>
      <c r="K274" s="185"/>
      <c r="L274" s="185"/>
      <c r="M274" s="185"/>
    </row>
    <row r="275" spans="1:13" ht="15.75">
      <c r="A275" s="288" t="s">
        <v>166</v>
      </c>
      <c r="B275" s="185">
        <v>0</v>
      </c>
      <c r="C275" s="185">
        <v>1</v>
      </c>
      <c r="D275" s="185">
        <v>2</v>
      </c>
      <c r="E275" s="185">
        <v>3</v>
      </c>
      <c r="F275" s="185">
        <v>4</v>
      </c>
      <c r="G275" s="185">
        <v>5</v>
      </c>
      <c r="H275" s="185">
        <v>6</v>
      </c>
      <c r="I275" s="185">
        <v>7</v>
      </c>
      <c r="J275" s="185">
        <v>8</v>
      </c>
      <c r="K275" s="185">
        <v>9</v>
      </c>
      <c r="L275" s="185">
        <v>10</v>
      </c>
      <c r="M275" s="185">
        <v>11</v>
      </c>
    </row>
    <row r="276" spans="1:13" ht="15.75">
      <c r="A276" s="209" t="s">
        <v>10</v>
      </c>
      <c r="B276" s="185" t="s">
        <v>29</v>
      </c>
      <c r="C276" s="185"/>
      <c r="D276" s="185"/>
      <c r="E276" s="185"/>
      <c r="F276" s="185"/>
      <c r="G276" s="185"/>
      <c r="H276" s="185"/>
      <c r="I276" s="185"/>
      <c r="J276" s="185"/>
      <c r="K276" s="185"/>
      <c r="L276" s="185"/>
      <c r="M276" s="185"/>
    </row>
    <row r="277" spans="1:13" ht="15.75">
      <c r="A277" s="209">
        <v>0</v>
      </c>
      <c r="B277" s="237">
        <f t="shared" ref="B277:M277" si="130">IF(C221&gt;0,(1+B260)^(1/$B$3)-1,"NA")</f>
        <v>0.20169832226988604</v>
      </c>
      <c r="C277" s="237">
        <f t="shared" si="130"/>
        <v>0.18201650910693701</v>
      </c>
      <c r="D277" s="237">
        <f t="shared" si="130"/>
        <v>0.16271763818639395</v>
      </c>
      <c r="E277" s="237">
        <f t="shared" si="130"/>
        <v>0.1491809348332418</v>
      </c>
      <c r="F277" s="237">
        <f t="shared" si="130"/>
        <v>0.13921487913148467</v>
      </c>
      <c r="G277" s="237">
        <f t="shared" si="130"/>
        <v>0.13161286208224743</v>
      </c>
      <c r="H277" s="237">
        <f t="shared" si="130"/>
        <v>0.12565577130267069</v>
      </c>
      <c r="I277" s="237">
        <f t="shared" si="130"/>
        <v>0.12088834053795905</v>
      </c>
      <c r="J277" s="237">
        <f t="shared" si="130"/>
        <v>0.11700826981655599</v>
      </c>
      <c r="K277" s="237">
        <f t="shared" si="130"/>
        <v>0.11380692732920039</v>
      </c>
      <c r="L277" s="237">
        <f t="shared" si="130"/>
        <v>0.11113565483314369</v>
      </c>
      <c r="M277" s="237">
        <f t="shared" si="130"/>
        <v>0.10888564600080475</v>
      </c>
    </row>
    <row r="278" spans="1:13" ht="15.75">
      <c r="A278" s="209">
        <f t="shared" ref="A278:A289" si="131">1+A277</f>
        <v>1</v>
      </c>
      <c r="B278" s="308"/>
      <c r="C278" s="237">
        <f t="shared" ref="C278:M278" si="132">IF(D222&gt;0,(1+C261)^(1/$B$3)-1,"NA")</f>
        <v>0.22519455341807992</v>
      </c>
      <c r="D278" s="237">
        <f t="shared" si="132"/>
        <v>0.20756086171954125</v>
      </c>
      <c r="E278" s="237">
        <f t="shared" si="132"/>
        <v>0.18525764607454764</v>
      </c>
      <c r="F278" s="237">
        <f t="shared" si="132"/>
        <v>0.16491768017066954</v>
      </c>
      <c r="G278" s="237">
        <f t="shared" si="132"/>
        <v>0.15076302906245731</v>
      </c>
      <c r="H278" s="237">
        <f t="shared" si="132"/>
        <v>0.14040065776177801</v>
      </c>
      <c r="I278" s="237">
        <f t="shared" si="132"/>
        <v>0.13252953907387632</v>
      </c>
      <c r="J278" s="237">
        <f t="shared" si="132"/>
        <v>0.12638155303418541</v>
      </c>
      <c r="K278" s="237">
        <f t="shared" si="132"/>
        <v>0.12147394438074399</v>
      </c>
      <c r="L278" s="237">
        <f t="shared" si="132"/>
        <v>0.11748802540295822</v>
      </c>
      <c r="M278" s="237">
        <f t="shared" si="132"/>
        <v>0.11420490188628474</v>
      </c>
    </row>
    <row r="279" spans="1:13" ht="15.75">
      <c r="A279" s="209">
        <f t="shared" si="131"/>
        <v>2</v>
      </c>
      <c r="B279" s="308"/>
      <c r="C279" s="308"/>
      <c r="D279" s="237">
        <f t="shared" ref="D279:M279" si="133">IF(E223&gt;0,(1+D262)^(1/$B$3)-1,"NA")</f>
        <v>0.25512934090146788</v>
      </c>
      <c r="E279" s="237">
        <f t="shared" si="133"/>
        <v>0.23620351290500219</v>
      </c>
      <c r="F279" s="237">
        <f t="shared" si="133"/>
        <v>0.214581252512825</v>
      </c>
      <c r="G279" s="237">
        <f t="shared" si="133"/>
        <v>0.18869223053262707</v>
      </c>
      <c r="H279" s="237">
        <f t="shared" si="133"/>
        <v>0.1672268686887679</v>
      </c>
      <c r="I279" s="237">
        <f t="shared" si="133"/>
        <v>0.15241259923563399</v>
      </c>
      <c r="J279" s="237">
        <f t="shared" si="133"/>
        <v>0.14163099718004601</v>
      </c>
      <c r="K279" s="237">
        <f t="shared" si="133"/>
        <v>0.13347714719504045</v>
      </c>
      <c r="L279" s="237">
        <f t="shared" si="133"/>
        <v>0.12712965605653226</v>
      </c>
      <c r="M279" s="237">
        <f t="shared" si="133"/>
        <v>0.12207616498553109</v>
      </c>
    </row>
    <row r="280" spans="1:13" ht="15.75">
      <c r="A280" s="209">
        <f t="shared" si="131"/>
        <v>3</v>
      </c>
      <c r="B280" s="308"/>
      <c r="C280" s="308"/>
      <c r="D280" s="308"/>
      <c r="E280" s="237">
        <f t="shared" ref="E280:M280" si="134">IF(F224&gt;0,(1+E263)^(1/$B$3)-1,"NA")</f>
        <v>0.29570995528056554</v>
      </c>
      <c r="F280" s="237">
        <f t="shared" si="134"/>
        <v>0.27347112768683179</v>
      </c>
      <c r="G280" s="237">
        <f t="shared" si="134"/>
        <v>0.25056518974745456</v>
      </c>
      <c r="H280" s="237">
        <f t="shared" si="134"/>
        <v>0.22318463737812699</v>
      </c>
      <c r="I280" s="237">
        <f t="shared" si="134"/>
        <v>0.19233767887662601</v>
      </c>
      <c r="J280" s="237">
        <f t="shared" si="134"/>
        <v>0.16965324998432685</v>
      </c>
      <c r="K280" s="237">
        <f t="shared" si="134"/>
        <v>0.15413385797812329</v>
      </c>
      <c r="L280" s="237">
        <f t="shared" si="134"/>
        <v>0.14290831122150416</v>
      </c>
      <c r="M280" s="237">
        <f t="shared" si="134"/>
        <v>0.13445716720283429</v>
      </c>
    </row>
    <row r="281" spans="1:13" ht="15.75">
      <c r="A281" s="209">
        <f t="shared" si="131"/>
        <v>4</v>
      </c>
      <c r="B281" s="308"/>
      <c r="C281" s="308"/>
      <c r="D281" s="308"/>
      <c r="E281" s="308"/>
      <c r="F281" s="237">
        <f t="shared" ref="F281:M281" si="135">IF(G225&gt;0,(1+F264)^(1/$B$3)-1,"NA")</f>
        <v>0.35145020548690287</v>
      </c>
      <c r="G281" s="237">
        <f t="shared" si="135"/>
        <v>0.32629772743800323</v>
      </c>
      <c r="H281" s="237">
        <f t="shared" si="135"/>
        <v>0.2989391718184482</v>
      </c>
      <c r="I281" s="237">
        <f t="shared" si="135"/>
        <v>0.26987177839808418</v>
      </c>
      <c r="J281" s="237">
        <f t="shared" si="135"/>
        <v>0.23369842246742056</v>
      </c>
      <c r="K281" s="237">
        <f t="shared" si="135"/>
        <v>0.19621355969389365</v>
      </c>
      <c r="L281" s="237">
        <f t="shared" si="135"/>
        <v>0.1722056796970366</v>
      </c>
      <c r="M281" s="237">
        <f t="shared" si="135"/>
        <v>0.1559313751462168</v>
      </c>
    </row>
    <row r="282" spans="1:13" ht="15.75">
      <c r="A282" s="209">
        <f t="shared" si="131"/>
        <v>5</v>
      </c>
      <c r="B282" s="308"/>
      <c r="C282" s="308"/>
      <c r="D282" s="308"/>
      <c r="E282" s="308"/>
      <c r="F282" s="308"/>
      <c r="G282" s="237">
        <f t="shared" ref="G282:M282" si="136">IF(H226&gt;0,(1+G265)^(1/$B$3)-1,"NA")</f>
        <v>0.43026244680086334</v>
      </c>
      <c r="H282" s="237">
        <f t="shared" si="136"/>
        <v>0.40402185653400591</v>
      </c>
      <c r="I282" s="237">
        <f t="shared" si="136"/>
        <v>0.3733316693240869</v>
      </c>
      <c r="J282" s="237">
        <f t="shared" si="136"/>
        <v>0.33739760714672395</v>
      </c>
      <c r="K282" s="237">
        <f t="shared" si="136"/>
        <v>0.29573889571226064</v>
      </c>
      <c r="L282" s="237">
        <f t="shared" si="136"/>
        <v>0.24193563473651514</v>
      </c>
      <c r="M282" s="237">
        <f t="shared" si="136"/>
        <v>0.20034193649757448</v>
      </c>
    </row>
    <row r="283" spans="1:13" ht="15.75">
      <c r="A283" s="209">
        <f t="shared" si="131"/>
        <v>6</v>
      </c>
      <c r="B283" s="308"/>
      <c r="C283" s="308"/>
      <c r="D283" s="308"/>
      <c r="E283" s="308"/>
      <c r="F283" s="308"/>
      <c r="G283" s="308"/>
      <c r="H283" s="237">
        <f t="shared" ref="H283:M283" si="137">IF(I227&gt;0,(1+H266)^(1/$B$3)-1,"NA")</f>
        <v>0.5464536731148304</v>
      </c>
      <c r="I283" s="237">
        <f t="shared" si="137"/>
        <v>0.52535986470673679</v>
      </c>
      <c r="J283" s="237">
        <f t="shared" si="137"/>
        <v>0.49859604602832786</v>
      </c>
      <c r="K283" s="237">
        <f t="shared" si="137"/>
        <v>0.46352764819297443</v>
      </c>
      <c r="L283" s="237">
        <f t="shared" si="137"/>
        <v>0.41559621863466623</v>
      </c>
      <c r="M283" s="237">
        <f t="shared" si="137"/>
        <v>0.33794129554620489</v>
      </c>
    </row>
    <row r="284" spans="1:13" ht="15.75">
      <c r="A284" s="209">
        <f t="shared" si="131"/>
        <v>7</v>
      </c>
      <c r="B284" s="308"/>
      <c r="C284" s="308"/>
      <c r="D284" s="308"/>
      <c r="E284" s="308"/>
      <c r="F284" s="308"/>
      <c r="G284" s="308"/>
      <c r="H284" s="308"/>
      <c r="I284" s="237">
        <f>IF(J228&gt;0,(1+I267)^(1/$B$3)-1,"NA")</f>
        <v>0.72422811881021087</v>
      </c>
      <c r="J284" s="237">
        <f>IF(K228&gt;0,(1+J267)^(1/$B$3)-1,"NA")</f>
        <v>0.72422811881021443</v>
      </c>
      <c r="K284" s="237">
        <f>IF(L228&gt;0,(1+K267)^(1/$B$3)-1,"NA")</f>
        <v>0.72422811881021087</v>
      </c>
      <c r="L284" s="237">
        <f>IF(M228&gt;0,(1+L267)^(1/$B$3)-1,"NA")</f>
        <v>0.72422811881021087</v>
      </c>
      <c r="M284" s="237">
        <f>IF(N228&gt;0,(1+M267)^(1/$B$3)-1,"NA")</f>
        <v>0.72422811881021087</v>
      </c>
    </row>
    <row r="285" spans="1:13" ht="15.75">
      <c r="A285" s="209">
        <f t="shared" si="131"/>
        <v>8</v>
      </c>
      <c r="B285" s="308"/>
      <c r="C285" s="308"/>
      <c r="D285" s="308"/>
      <c r="E285" s="308"/>
      <c r="F285" s="308"/>
      <c r="G285" s="308"/>
      <c r="H285" s="308"/>
      <c r="I285" s="308"/>
      <c r="J285" s="237" t="str">
        <f>IF(K229&gt;0,(1+J268)^(1/$B$3)-1,"NA")</f>
        <v>NA</v>
      </c>
      <c r="K285" s="237" t="str">
        <f>IF(L229&gt;0,(1+K268)^(1/$B$3)-1,"NA")</f>
        <v>NA</v>
      </c>
      <c r="L285" s="237" t="str">
        <f>IF(M229&gt;0,(1+L268)^(1/$B$3)-1,"NA")</f>
        <v>NA</v>
      </c>
      <c r="M285" s="237" t="str">
        <f>IF(N229&gt;0,(1+M268)^(1/$B$3)-1,"NA")</f>
        <v>NA</v>
      </c>
    </row>
    <row r="286" spans="1:13" ht="15.75">
      <c r="A286" s="209">
        <f t="shared" si="131"/>
        <v>9</v>
      </c>
      <c r="B286" s="308"/>
      <c r="C286" s="308"/>
      <c r="D286" s="308"/>
      <c r="E286" s="308"/>
      <c r="F286" s="308"/>
      <c r="G286" s="308"/>
      <c r="H286" s="308"/>
      <c r="I286" s="308"/>
      <c r="J286" s="308"/>
      <c r="K286" s="237" t="str">
        <f>IF(L230&gt;0,(1+K269)^(1/$B$3)-1,"NA")</f>
        <v>NA</v>
      </c>
      <c r="L286" s="237" t="str">
        <f>IF(M230&gt;0,(1+L269)^(1/$B$3)-1,"NA")</f>
        <v>NA</v>
      </c>
      <c r="M286" s="237" t="str">
        <f>IF(N230&gt;0,(1+M269)^(1/$B$3)-1,"NA")</f>
        <v>NA</v>
      </c>
    </row>
    <row r="287" spans="1:13" ht="15.75">
      <c r="A287" s="209">
        <f t="shared" si="131"/>
        <v>10</v>
      </c>
      <c r="B287" s="308"/>
      <c r="C287" s="308"/>
      <c r="D287" s="308"/>
      <c r="E287" s="308"/>
      <c r="F287" s="308"/>
      <c r="G287" s="308"/>
      <c r="H287" s="308"/>
      <c r="I287" s="308"/>
      <c r="J287" s="308"/>
      <c r="K287" s="308"/>
      <c r="L287" s="237" t="str">
        <f>IF(M231&gt;0,(1+L270)^(1/$B$3)-1,"NA")</f>
        <v>NA</v>
      </c>
      <c r="M287" s="237" t="str">
        <f>IF(N231&gt;0,(1+M270)^(1/$B$3)-1,"NA")</f>
        <v>NA</v>
      </c>
    </row>
    <row r="288" spans="1:13" ht="15.75">
      <c r="A288" s="209">
        <f t="shared" si="131"/>
        <v>11</v>
      </c>
      <c r="B288" s="308"/>
      <c r="C288" s="308"/>
      <c r="D288" s="308"/>
      <c r="E288" s="308"/>
      <c r="F288" s="308"/>
      <c r="G288" s="308"/>
      <c r="H288" s="308"/>
      <c r="I288" s="308"/>
      <c r="J288" s="308"/>
      <c r="K288" s="308"/>
      <c r="L288" s="308"/>
      <c r="M288" s="237" t="str">
        <f>IF(N232&gt;0,(1+M271)^(1/$B$3)-1,"NA")</f>
        <v>NA</v>
      </c>
    </row>
    <row r="289" spans="1:14" ht="15.75">
      <c r="A289" s="209">
        <f t="shared" si="131"/>
        <v>12</v>
      </c>
    </row>
    <row r="291" spans="1:14" ht="15.75">
      <c r="A291" s="288" t="s">
        <v>167</v>
      </c>
      <c r="B291" s="185"/>
      <c r="C291" s="185"/>
      <c r="D291" s="185"/>
      <c r="E291" s="185"/>
      <c r="F291" s="185"/>
      <c r="G291" s="185"/>
      <c r="H291" s="185"/>
      <c r="I291" s="185"/>
      <c r="J291" s="185"/>
      <c r="K291" s="185"/>
      <c r="L291" s="185"/>
      <c r="M291" s="185"/>
      <c r="N291" s="185"/>
    </row>
    <row r="292" spans="1:14" ht="15.75">
      <c r="A292" s="217" t="str">
        <f t="shared" ref="A292:N292" si="138">A183</f>
        <v>Period ("j"):</v>
      </c>
      <c r="B292" s="185">
        <f t="shared" si="138"/>
        <v>0</v>
      </c>
      <c r="C292" s="185">
        <f t="shared" si="138"/>
        <v>1</v>
      </c>
      <c r="D292" s="185">
        <f t="shared" si="138"/>
        <v>2</v>
      </c>
      <c r="E292" s="185">
        <f t="shared" si="138"/>
        <v>3</v>
      </c>
      <c r="F292" s="185">
        <f t="shared" si="138"/>
        <v>4</v>
      </c>
      <c r="G292" s="185">
        <f t="shared" si="138"/>
        <v>5</v>
      </c>
      <c r="H292" s="185">
        <f t="shared" si="138"/>
        <v>6</v>
      </c>
      <c r="I292" s="185">
        <f t="shared" si="138"/>
        <v>7</v>
      </c>
      <c r="J292" s="185">
        <f t="shared" si="138"/>
        <v>8</v>
      </c>
      <c r="K292" s="185">
        <f t="shared" si="138"/>
        <v>9</v>
      </c>
      <c r="L292" s="185">
        <f t="shared" si="138"/>
        <v>10</v>
      </c>
      <c r="M292" s="185">
        <f t="shared" si="138"/>
        <v>11</v>
      </c>
      <c r="N292" s="217" t="str">
        <f t="shared" si="138"/>
        <v>n = 12</v>
      </c>
    </row>
    <row r="293" spans="1:14" ht="15.75">
      <c r="A293" s="209" t="str">
        <f t="shared" ref="A293:A306" si="139">A184</f>
        <v>"down" moves ("i"):</v>
      </c>
      <c r="B293" s="185"/>
      <c r="C293" s="185"/>
      <c r="D293" s="185"/>
      <c r="E293" s="185"/>
      <c r="F293" s="185"/>
      <c r="G293" s="185"/>
      <c r="H293" s="185"/>
      <c r="I293" s="185"/>
      <c r="J293" s="185"/>
      <c r="K293" s="185"/>
      <c r="L293" s="185"/>
      <c r="M293" s="185"/>
      <c r="N293" s="185"/>
    </row>
    <row r="294" spans="1:14" ht="15.75">
      <c r="A294" s="209">
        <f t="shared" si="139"/>
        <v>0</v>
      </c>
      <c r="B294" s="196">
        <f t="shared" ref="B294:M294" si="140">(1/(1+$D$4))*(($D$11*C294+(1-$D$11)*C295)-((C294-C295)/((1+$D$9)-1/(1+$D$9)))*($D$5-$D$4))</f>
        <v>3.0891937314845705</v>
      </c>
      <c r="C294" s="196">
        <f t="shared" si="140"/>
        <v>4.025161422467403</v>
      </c>
      <c r="D294" s="196">
        <f t="shared" si="140"/>
        <v>5.1435671179796936</v>
      </c>
      <c r="E294" s="196">
        <f t="shared" si="140"/>
        <v>6.4512642662059774</v>
      </c>
      <c r="F294" s="196">
        <f t="shared" si="140"/>
        <v>7.9537748485197186</v>
      </c>
      <c r="G294" s="196">
        <f t="shared" si="140"/>
        <v>9.6597292620987094</v>
      </c>
      <c r="H294" s="196">
        <f t="shared" si="140"/>
        <v>11.584947217422878</v>
      </c>
      <c r="I294" s="196">
        <f t="shared" si="140"/>
        <v>13.75370240845578</v>
      </c>
      <c r="J294" s="196">
        <f t="shared" si="140"/>
        <v>16.196581154280207</v>
      </c>
      <c r="K294" s="196">
        <f t="shared" si="140"/>
        <v>18.948010621860639</v>
      </c>
      <c r="L294" s="196">
        <f t="shared" si="140"/>
        <v>22.046741135487547</v>
      </c>
      <c r="M294" s="196">
        <f t="shared" si="140"/>
        <v>25.536389051595286</v>
      </c>
      <c r="N294" s="196">
        <f t="shared" ref="N294:N306" si="141">MAX(N185-N203,0)</f>
        <v>29.466047804370564</v>
      </c>
    </row>
    <row r="295" spans="1:14" ht="15.75">
      <c r="A295" s="209">
        <f t="shared" si="139"/>
        <v>1</v>
      </c>
      <c r="B295" s="185"/>
      <c r="C295" s="196">
        <f t="shared" ref="C295:M295" si="142">(1/(1+$D$4))*(($D$11*D295+(1-$D$11)*D296)-((D295-D296)/((1+$D$9)-1/(1+$D$9)))*($D$5-$D$4))</f>
        <v>2.2366235115171031</v>
      </c>
      <c r="D295" s="196">
        <f t="shared" si="142"/>
        <v>3.0080169903766842</v>
      </c>
      <c r="E295" s="196">
        <f t="shared" si="142"/>
        <v>3.9563755293535596</v>
      </c>
      <c r="F295" s="196">
        <f t="shared" si="142"/>
        <v>5.089819587336045</v>
      </c>
      <c r="G295" s="196">
        <f t="shared" si="142"/>
        <v>6.4110168786158468</v>
      </c>
      <c r="H295" s="196">
        <f t="shared" si="142"/>
        <v>7.9219763482342911</v>
      </c>
      <c r="I295" s="196">
        <f t="shared" si="142"/>
        <v>9.6307587944914417</v>
      </c>
      <c r="J295" s="196">
        <f t="shared" si="142"/>
        <v>11.555904323646592</v>
      </c>
      <c r="K295" s="196">
        <f t="shared" si="142"/>
        <v>13.724586907445055</v>
      </c>
      <c r="L295" s="196">
        <f t="shared" si="142"/>
        <v>16.167392864516952</v>
      </c>
      <c r="M295" s="196">
        <f t="shared" si="142"/>
        <v>18.918749361372974</v>
      </c>
      <c r="N295" s="196">
        <f t="shared" si="141"/>
        <v>22.017406721848669</v>
      </c>
    </row>
    <row r="296" spans="1:14" ht="15.75">
      <c r="A296" s="209">
        <f t="shared" si="139"/>
        <v>2</v>
      </c>
      <c r="B296" s="185"/>
      <c r="C296" s="185"/>
      <c r="D296" s="196">
        <f t="shared" ref="D296:M296" si="143">(1/(1+$D$4))*(($D$11*E296+(1-$D$11)*E297)-((E296-E297)/((1+$D$9)-1/(1+$D$9)))*($D$5-$D$4))</f>
        <v>1.5324731423756404</v>
      </c>
      <c r="E296" s="196">
        <f t="shared" si="143"/>
        <v>2.14357195825772</v>
      </c>
      <c r="F296" s="196">
        <f t="shared" si="143"/>
        <v>2.9249622666561752</v>
      </c>
      <c r="G296" s="196">
        <f t="shared" si="143"/>
        <v>3.8898572228773869</v>
      </c>
      <c r="H296" s="196">
        <f t="shared" si="143"/>
        <v>5.0415479360738349</v>
      </c>
      <c r="I296" s="196">
        <f t="shared" si="143"/>
        <v>6.376444196765723</v>
      </c>
      <c r="J296" s="196">
        <f t="shared" si="143"/>
        <v>7.8929334544580074</v>
      </c>
      <c r="K296" s="196">
        <f t="shared" si="143"/>
        <v>9.6016432934807163</v>
      </c>
      <c r="L296" s="196">
        <f t="shared" si="143"/>
        <v>11.526716033883339</v>
      </c>
      <c r="M296" s="196">
        <f t="shared" si="143"/>
        <v>13.695325646957393</v>
      </c>
      <c r="N296" s="196">
        <f t="shared" si="141"/>
        <v>16.13805845087807</v>
      </c>
    </row>
    <row r="297" spans="1:14" ht="15.75">
      <c r="A297" s="209">
        <f t="shared" si="139"/>
        <v>3</v>
      </c>
      <c r="B297" s="185"/>
      <c r="C297" s="185"/>
      <c r="D297" s="185"/>
      <c r="E297" s="196">
        <f t="shared" ref="E297:M297" si="144">(1/(1+$D$4))*(($D$11*F297+(1-$D$11)*F298)-((F297-F298)/((1+$D$9)-1/(1+$D$9)))*($D$5-$D$4))</f>
        <v>0.97349129313305149</v>
      </c>
      <c r="F297" s="196">
        <f t="shared" si="144"/>
        <v>1.4297083421363814</v>
      </c>
      <c r="G297" s="196">
        <f t="shared" si="144"/>
        <v>2.0447912804011836</v>
      </c>
      <c r="H297" s="196">
        <f t="shared" si="144"/>
        <v>2.8412126205889319</v>
      </c>
      <c r="I297" s="196">
        <f t="shared" si="144"/>
        <v>3.8286569016202736</v>
      </c>
      <c r="J297" s="196">
        <f t="shared" si="144"/>
        <v>5.0016837341683376</v>
      </c>
      <c r="K297" s="196">
        <f t="shared" si="144"/>
        <v>6.3473286957549986</v>
      </c>
      <c r="L297" s="196">
        <f t="shared" si="144"/>
        <v>7.8637451646947554</v>
      </c>
      <c r="M297" s="196">
        <f t="shared" si="144"/>
        <v>9.5723820329930565</v>
      </c>
      <c r="N297" s="196">
        <f t="shared" si="141"/>
        <v>11.497381620244461</v>
      </c>
    </row>
    <row r="298" spans="1:14" ht="15.75">
      <c r="A298" s="209">
        <f t="shared" si="139"/>
        <v>4</v>
      </c>
      <c r="B298" s="185"/>
      <c r="C298" s="185"/>
      <c r="D298" s="185"/>
      <c r="E298" s="185"/>
      <c r="F298" s="196">
        <f t="shared" ref="F298:M298" si="145">(1/(1+$D$4))*(($D$11*G298+(1-$D$11)*G299)-((G298-G299)/((1+$D$9)-1/(1+$D$9)))*($D$5-$D$4))</f>
        <v>0.55536059015143702</v>
      </c>
      <c r="G298" s="196">
        <f t="shared" si="145"/>
        <v>0.86653900845577225</v>
      </c>
      <c r="H298" s="196">
        <f t="shared" si="145"/>
        <v>1.3165211431609358</v>
      </c>
      <c r="I298" s="196">
        <f t="shared" si="145"/>
        <v>1.9397395958774584</v>
      </c>
      <c r="J298" s="196">
        <f t="shared" si="145"/>
        <v>2.7599432743349279</v>
      </c>
      <c r="K298" s="196">
        <f t="shared" si="145"/>
        <v>3.7786388244939273</v>
      </c>
      <c r="L298" s="196">
        <f t="shared" si="145"/>
        <v>4.9724954444050864</v>
      </c>
      <c r="M298" s="196">
        <f t="shared" si="145"/>
        <v>6.3180674352673378</v>
      </c>
      <c r="N298" s="196">
        <f t="shared" si="141"/>
        <v>7.8344107510558763</v>
      </c>
    </row>
    <row r="299" spans="1:14" ht="15.75">
      <c r="A299" s="209">
        <f t="shared" si="139"/>
        <v>5</v>
      </c>
      <c r="B299" s="185"/>
      <c r="C299" s="185"/>
      <c r="D299" s="185"/>
      <c r="E299" s="185"/>
      <c r="F299" s="185"/>
      <c r="G299" s="196">
        <f t="shared" ref="G299:M299" si="146">(1/(1+$D$4))*(($D$11*H299+(1-$D$11)*H300)-((H299-H300)/((1+$D$9)-1/(1+$D$9)))*($D$5-$D$4))</f>
        <v>0.26963693558569629</v>
      </c>
      <c r="H299" s="196">
        <f t="shared" si="146"/>
        <v>0.45367160924043692</v>
      </c>
      <c r="I299" s="196">
        <f t="shared" si="146"/>
        <v>0.74526662813377809</v>
      </c>
      <c r="J299" s="196">
        <f t="shared" si="146"/>
        <v>1.1889220569158425</v>
      </c>
      <c r="K299" s="196">
        <f t="shared" si="146"/>
        <v>1.8291152341541959</v>
      </c>
      <c r="L299" s="196">
        <f t="shared" si="146"/>
        <v>2.6903793032721253</v>
      </c>
      <c r="M299" s="196">
        <f t="shared" si="146"/>
        <v>3.7493775640062683</v>
      </c>
      <c r="N299" s="196">
        <f t="shared" si="141"/>
        <v>4.9431610307662064</v>
      </c>
    </row>
    <row r="300" spans="1:14" ht="15.75">
      <c r="A300" s="209">
        <f t="shared" si="139"/>
        <v>6</v>
      </c>
      <c r="B300" s="185"/>
      <c r="C300" s="185"/>
      <c r="D300" s="185"/>
      <c r="E300" s="185"/>
      <c r="F300" s="185"/>
      <c r="G300" s="185"/>
      <c r="H300" s="196">
        <f t="shared" ref="H300:M300" si="147">(1/(1+$D$4))*(($D$11*I300+(1-$D$11)*I301)-((I300-I301)/((1+$D$9)-1/(1+$D$9)))*($D$5-$D$4))</f>
        <v>0.10037322929142005</v>
      </c>
      <c r="I300" s="196">
        <f t="shared" si="147"/>
        <v>0.18560793034605891</v>
      </c>
      <c r="J300" s="196">
        <f t="shared" si="147"/>
        <v>0.33767862502132395</v>
      </c>
      <c r="K300" s="196">
        <f t="shared" si="147"/>
        <v>0.60132079673620809</v>
      </c>
      <c r="L300" s="196">
        <f t="shared" si="147"/>
        <v>1.0397102252547334</v>
      </c>
      <c r="M300" s="196">
        <f t="shared" si="147"/>
        <v>1.7218637952605091</v>
      </c>
      <c r="N300" s="196">
        <f t="shared" si="141"/>
        <v>2.6610448896332484</v>
      </c>
    </row>
    <row r="301" spans="1:14" ht="15.75">
      <c r="A301" s="209">
        <f t="shared" si="139"/>
        <v>7</v>
      </c>
      <c r="B301" s="185"/>
      <c r="C301" s="185"/>
      <c r="D301" s="185"/>
      <c r="E301" s="185"/>
      <c r="F301" s="185"/>
      <c r="G301" s="185"/>
      <c r="H301" s="185"/>
      <c r="I301" s="196">
        <f>(1/(1+$D$4))*(($D$11*J301+(1-$D$11)*J302)-((J301-J302)/((1+$D$9)-1/(1+$D$9)))*($D$5-$D$4))</f>
        <v>2.1861571481237508E-2</v>
      </c>
      <c r="J301" s="196">
        <f>(1/(1+$D$4))*(($D$11*K301+(1-$D$11)*K302)-((K301-K302)/((1+$D$9)-1/(1+$D$9)))*($D$5-$D$4))</f>
        <v>4.5563535565388578E-2</v>
      </c>
      <c r="K301" s="196">
        <f>(1/(1+$D$4))*(($D$11*L301+(1-$D$11)*L302)-((L301-L302)/((1+$D$9)-1/(1+$D$9)))*($D$5-$D$4))</f>
        <v>9.4962787784957203E-2</v>
      </c>
      <c r="L301" s="196">
        <f>(1/(1+$D$4))*(($D$11*M301+(1-$D$11)*M302)-((M301-M302)/((1+$D$9)-1/(1+$D$9)))*($D$5-$D$4))</f>
        <v>0.19791991451034599</v>
      </c>
      <c r="M301" s="196">
        <f>(1/(1+$D$4))*(($D$11*N301+(1-$D$11)*N302)-((N301-N302)/((1+$D$9)-1/(1+$D$9)))*($D$5-$D$4))</f>
        <v>0.41250150162491167</v>
      </c>
      <c r="N301" s="196">
        <f t="shared" si="141"/>
        <v>0.85972899323333252</v>
      </c>
    </row>
    <row r="302" spans="1:14" ht="15.75">
      <c r="A302" s="209">
        <f t="shared" si="139"/>
        <v>8</v>
      </c>
      <c r="B302" s="185"/>
      <c r="C302" s="185"/>
      <c r="D302" s="185"/>
      <c r="E302" s="185"/>
      <c r="F302" s="185"/>
      <c r="G302" s="185"/>
      <c r="H302" s="185"/>
      <c r="I302" s="185"/>
      <c r="J302" s="196">
        <f>(1/(1+$D$4))*(($D$11*K302+(1-$D$11)*K303)-((K302-K303)/((1+$D$9)-1/(1+$D$9)))*($D$5-$D$4))</f>
        <v>0</v>
      </c>
      <c r="K302" s="196">
        <f>(1/(1+$D$4))*(($D$11*L302+(1-$D$11)*L303)-((L302-L303)/((1+$D$9)-1/(1+$D$9)))*($D$5-$D$4))</f>
        <v>0</v>
      </c>
      <c r="L302" s="196">
        <f>(1/(1+$D$4))*(($D$11*M302+(1-$D$11)*M303)-((M302-M303)/((1+$D$9)-1/(1+$D$9)))*($D$5-$D$4))</f>
        <v>0</v>
      </c>
      <c r="M302" s="196">
        <f>(1/(1+$D$4))*(($D$11*N302+(1-$D$11)*N303)-((N302-N303)/((1+$D$9)-1/(1+$D$9)))*($D$5-$D$4))</f>
        <v>0</v>
      </c>
      <c r="N302" s="196">
        <f t="shared" si="141"/>
        <v>0</v>
      </c>
    </row>
    <row r="303" spans="1:14" ht="15.75">
      <c r="A303" s="209">
        <f t="shared" si="139"/>
        <v>9</v>
      </c>
      <c r="B303" s="185"/>
      <c r="C303" s="185"/>
      <c r="D303" s="185"/>
      <c r="E303" s="185"/>
      <c r="F303" s="185"/>
      <c r="G303" s="185"/>
      <c r="H303" s="185"/>
      <c r="I303" s="185"/>
      <c r="J303" s="185"/>
      <c r="K303" s="196">
        <f>(1/(1+$D$4))*(($D$11*L303+(1-$D$11)*L304)-((L303-L304)/((1+$D$9)-1/(1+$D$9)))*($D$5-$D$4))</f>
        <v>0</v>
      </c>
      <c r="L303" s="196">
        <f>(1/(1+$D$4))*(($D$11*M303+(1-$D$11)*M304)-((M303-M304)/((1+$D$9)-1/(1+$D$9)))*($D$5-$D$4))</f>
        <v>0</v>
      </c>
      <c r="M303" s="196">
        <f>(1/(1+$D$4))*(($D$11*N303+(1-$D$11)*N304)-((N303-N304)/((1+$D$9)-1/(1+$D$9)))*($D$5-$D$4))</f>
        <v>0</v>
      </c>
      <c r="N303" s="196">
        <f t="shared" si="141"/>
        <v>0</v>
      </c>
    </row>
    <row r="304" spans="1:14" ht="15.75">
      <c r="A304" s="209">
        <f t="shared" si="139"/>
        <v>10</v>
      </c>
      <c r="B304" s="185"/>
      <c r="C304" s="185"/>
      <c r="D304" s="185"/>
      <c r="E304" s="185"/>
      <c r="F304" s="185"/>
      <c r="G304" s="185"/>
      <c r="H304" s="185"/>
      <c r="I304" s="185"/>
      <c r="J304" s="185"/>
      <c r="K304" s="185"/>
      <c r="L304" s="196">
        <f>(1/(1+$D$4))*(($D$11*M304+(1-$D$11)*M305)-((M304-M305)/((1+$D$9)-1/(1+$D$9)))*($D$5-$D$4))</f>
        <v>0</v>
      </c>
      <c r="M304" s="196">
        <f>(1/(1+$D$4))*(($D$11*N304+(1-$D$11)*N305)-((N304-N305)/((1+$D$9)-1/(1+$D$9)))*($D$5-$D$4))</f>
        <v>0</v>
      </c>
      <c r="N304" s="196">
        <f t="shared" si="141"/>
        <v>0</v>
      </c>
    </row>
    <row r="305" spans="1:14" ht="15.75">
      <c r="A305" s="209">
        <f t="shared" si="139"/>
        <v>11</v>
      </c>
      <c r="B305" s="185"/>
      <c r="C305" s="185"/>
      <c r="D305" s="185"/>
      <c r="E305" s="185"/>
      <c r="F305" s="185"/>
      <c r="G305" s="185"/>
      <c r="H305" s="185"/>
      <c r="I305" s="185"/>
      <c r="J305" s="185"/>
      <c r="K305" s="185"/>
      <c r="L305" s="185"/>
      <c r="M305" s="196">
        <f>(1/(1+$D$4))*(($D$11*N305+(1-$D$11)*N306)-((N305-N306)/((1+$D$9)-1/(1+$D$9)))*($D$5-$D$4))</f>
        <v>0</v>
      </c>
      <c r="N305" s="196">
        <f t="shared" si="141"/>
        <v>0</v>
      </c>
    </row>
    <row r="306" spans="1:14" ht="15.75">
      <c r="A306" s="209">
        <f t="shared" si="139"/>
        <v>12</v>
      </c>
      <c r="B306" s="185"/>
      <c r="C306" s="185"/>
      <c r="D306" s="185"/>
      <c r="E306" s="185"/>
      <c r="F306" s="185"/>
      <c r="G306" s="185"/>
      <c r="H306" s="185"/>
      <c r="I306" s="185"/>
      <c r="J306" s="185"/>
      <c r="K306" s="185"/>
      <c r="L306" s="185"/>
      <c r="M306" s="185"/>
      <c r="N306" s="196">
        <f t="shared" si="141"/>
        <v>0</v>
      </c>
    </row>
  </sheetData>
  <phoneticPr fontId="2" type="noConversion"/>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dimension ref="A1:I73"/>
  <sheetViews>
    <sheetView workbookViewId="0"/>
  </sheetViews>
  <sheetFormatPr defaultRowHeight="15"/>
  <cols>
    <col min="1" max="1" width="55.21875" customWidth="1"/>
    <col min="2" max="2" width="11.21875" style="33" customWidth="1"/>
    <col min="3" max="3" width="13.109375" bestFit="1" customWidth="1"/>
    <col min="4" max="4" width="9.109375" customWidth="1"/>
    <col min="7" max="7" width="8.88671875" style="69"/>
    <col min="8" max="8" width="8.88671875" style="2"/>
  </cols>
  <sheetData>
    <row r="1" spans="1:9" ht="15.75">
      <c r="A1" s="32" t="s">
        <v>53</v>
      </c>
      <c r="D1" s="371">
        <v>0.25</v>
      </c>
      <c r="E1" t="s">
        <v>239</v>
      </c>
    </row>
    <row r="2" spans="1:9" ht="15.75">
      <c r="A2" s="34" t="s">
        <v>19</v>
      </c>
      <c r="D2" s="371">
        <v>0.159</v>
      </c>
      <c r="E2" t="s">
        <v>240</v>
      </c>
    </row>
    <row r="3" spans="1:9">
      <c r="A3" s="35" t="s">
        <v>20</v>
      </c>
      <c r="D3" s="371">
        <v>0</v>
      </c>
      <c r="E3" t="s">
        <v>241</v>
      </c>
    </row>
    <row r="4" spans="1:9">
      <c r="A4" s="3" t="s">
        <v>54</v>
      </c>
      <c r="B4" s="36">
        <f>SQRT(D1^2+D2^2-2*D1*D2*D3)</f>
        <v>0.29627858511880334</v>
      </c>
      <c r="C4" s="127" t="s">
        <v>180</v>
      </c>
      <c r="D4" s="37"/>
    </row>
    <row r="5" spans="1:9">
      <c r="A5" s="3" t="s">
        <v>55</v>
      </c>
      <c r="B5" s="36">
        <f>(1+0.09/12)^12-1</f>
        <v>9.3806897670984268E-2</v>
      </c>
      <c r="C5" s="38"/>
      <c r="D5" s="37"/>
    </row>
    <row r="6" spans="1:9">
      <c r="A6" s="3" t="s">
        <v>56</v>
      </c>
      <c r="B6" s="36">
        <f>(1+0.03/12)^12-1</f>
        <v>3.0415956913506736E-2</v>
      </c>
      <c r="C6" s="38"/>
      <c r="D6" s="37"/>
    </row>
    <row r="7" spans="1:9">
      <c r="A7" s="3" t="s">
        <v>21</v>
      </c>
      <c r="B7" s="39">
        <v>9352</v>
      </c>
      <c r="C7" s="40"/>
      <c r="D7" s="41"/>
    </row>
    <row r="8" spans="1:9">
      <c r="A8" s="3" t="s">
        <v>22</v>
      </c>
      <c r="B8" s="39">
        <v>5889</v>
      </c>
      <c r="C8" s="40"/>
      <c r="D8" s="41"/>
    </row>
    <row r="9" spans="1:9">
      <c r="A9" s="3"/>
      <c r="B9" s="42"/>
      <c r="C9" s="43"/>
      <c r="D9" s="43"/>
      <c r="I9" s="70"/>
    </row>
    <row r="10" spans="1:9">
      <c r="A10" s="35" t="s">
        <v>23</v>
      </c>
      <c r="C10" s="3"/>
      <c r="D10" s="3"/>
      <c r="I10" s="70"/>
    </row>
    <row r="11" spans="1:9">
      <c r="A11" s="3" t="s">
        <v>178</v>
      </c>
      <c r="B11" s="44">
        <f>(B5-B6+B4^2/2+((B6-B5-B4^2/2)^2+2*B6*B4^2)^0.5)/B4^2</f>
        <v>2.7008792911011712</v>
      </c>
      <c r="C11" s="45" t="s">
        <v>24</v>
      </c>
      <c r="D11" s="3"/>
      <c r="I11" s="70"/>
    </row>
    <row r="12" spans="1:9">
      <c r="A12" s="37" t="s">
        <v>25</v>
      </c>
      <c r="B12" s="47">
        <f>B11/(B11-1)</f>
        <v>1.5879311984288944</v>
      </c>
      <c r="C12" s="48"/>
      <c r="D12" s="3"/>
      <c r="I12" s="70"/>
    </row>
    <row r="13" spans="1:9">
      <c r="A13" s="37" t="s">
        <v>97</v>
      </c>
      <c r="B13" s="50">
        <f>1/B11</f>
        <v>0.37024979357455534</v>
      </c>
      <c r="C13" s="48"/>
      <c r="D13" s="46"/>
      <c r="I13" s="70"/>
    </row>
    <row r="14" spans="1:9">
      <c r="A14" s="37" t="s">
        <v>26</v>
      </c>
      <c r="B14" s="51">
        <f>B12*B8</f>
        <v>9351.3268275477585</v>
      </c>
      <c r="C14" s="48"/>
      <c r="D14" s="49"/>
      <c r="I14" s="70"/>
    </row>
    <row r="15" spans="1:9">
      <c r="A15" s="3" t="s">
        <v>27</v>
      </c>
      <c r="B15" s="3" t="str">
        <f>IF(B7&lt;B14,"No","Yes")</f>
        <v>Yes</v>
      </c>
      <c r="C15" s="52"/>
      <c r="D15" s="49"/>
      <c r="I15" s="70"/>
    </row>
    <row r="16" spans="1:9">
      <c r="A16" s="3" t="s">
        <v>179</v>
      </c>
      <c r="B16" s="53">
        <f>IF(B7/B8&lt;B12,B8*(B12-1)*(B7/B8/B12)^B11,B7-B8)</f>
        <v>3463</v>
      </c>
      <c r="C16" s="49"/>
      <c r="D16" s="49"/>
      <c r="I16" s="70"/>
    </row>
    <row r="17" spans="1:9">
      <c r="A17" s="37" t="s">
        <v>98</v>
      </c>
      <c r="B17" s="50">
        <f>B16/B7</f>
        <v>0.37029512403763903</v>
      </c>
      <c r="D17" s="49"/>
      <c r="I17" s="70"/>
    </row>
    <row r="18" spans="1:9">
      <c r="A18" s="37" t="s">
        <v>177</v>
      </c>
      <c r="B18" s="36">
        <f>B6+B11*(B5-B6)</f>
        <v>0.20162723604879898</v>
      </c>
      <c r="D18" s="37"/>
      <c r="I18" s="70"/>
    </row>
    <row r="19" spans="1:9">
      <c r="A19" s="372" t="s">
        <v>243</v>
      </c>
      <c r="B19" s="36"/>
      <c r="D19" s="37"/>
      <c r="I19" s="70"/>
    </row>
    <row r="20" spans="1:9">
      <c r="A20" s="3"/>
      <c r="B20" s="36"/>
      <c r="C20" s="3" t="s">
        <v>242</v>
      </c>
      <c r="D20" s="365" t="s">
        <v>234</v>
      </c>
    </row>
    <row r="21" spans="1:9" ht="15.75">
      <c r="A21" s="34"/>
      <c r="C21" s="359">
        <f>B11</f>
        <v>2.7008792911011712</v>
      </c>
      <c r="D21" s="366">
        <v>7.0000000000000007E-2</v>
      </c>
      <c r="E21" s="360">
        <v>0.08</v>
      </c>
      <c r="F21" s="360">
        <v>0.09</v>
      </c>
      <c r="G21" s="361">
        <v>9.3806897670984268E-2</v>
      </c>
      <c r="H21" s="360">
        <v>0.1</v>
      </c>
      <c r="I21" s="360">
        <v>0.11</v>
      </c>
    </row>
    <row r="22" spans="1:9">
      <c r="A22" s="3"/>
      <c r="B22" s="3" t="s">
        <v>235</v>
      </c>
      <c r="C22" s="37">
        <v>0.15</v>
      </c>
      <c r="D22" s="367">
        <f t="dataTable" ref="D22:I27" dt2D="1" dtr="1" r1="B5" r2="B4" ca="1"/>
        <v>5.0535770366536363</v>
      </c>
      <c r="E22" s="2">
        <v>5.868198063265579</v>
      </c>
      <c r="F22" s="2">
        <v>6.6998942071993346</v>
      </c>
      <c r="G22" s="2">
        <v>7.0198902987925846</v>
      </c>
      <c r="H22" s="2">
        <v>7.5436479039452955</v>
      </c>
      <c r="I22" s="2">
        <v>8.3961468497025482</v>
      </c>
    </row>
    <row r="23" spans="1:9">
      <c r="A23" s="3"/>
      <c r="B23" s="36"/>
      <c r="C23" s="352">
        <v>0.2</v>
      </c>
      <c r="D23" s="8">
        <v>3.4234338555479171</v>
      </c>
      <c r="E23" s="2">
        <v>3.8719729381049013</v>
      </c>
      <c r="F23" s="2">
        <v>4.3303937403259969</v>
      </c>
      <c r="G23" s="2">
        <v>4.5069788097692491</v>
      </c>
      <c r="H23" s="2">
        <v>4.7962807267277618</v>
      </c>
      <c r="I23" s="2">
        <v>5.267893964725336</v>
      </c>
    </row>
    <row r="24" spans="1:9">
      <c r="A24" s="27"/>
      <c r="B24" s="71"/>
      <c r="C24" s="18">
        <v>0.25</v>
      </c>
      <c r="D24" s="8">
        <v>2.635936053057625</v>
      </c>
      <c r="E24" s="2">
        <v>2.9200134039013053</v>
      </c>
      <c r="F24" s="2">
        <v>3.2099099194259129</v>
      </c>
      <c r="G24" s="2">
        <v>3.3215400280163778</v>
      </c>
      <c r="H24" s="2">
        <v>3.5044268420138156</v>
      </c>
      <c r="I24" s="2">
        <v>3.8026455563324753</v>
      </c>
    </row>
    <row r="25" spans="1:9">
      <c r="A25" s="72"/>
      <c r="B25" s="73"/>
      <c r="C25" s="354">
        <v>0.29630000000000001</v>
      </c>
      <c r="D25" s="8">
        <v>2.214624439317161</v>
      </c>
      <c r="E25" s="2">
        <v>2.416315570187785</v>
      </c>
      <c r="F25" s="2">
        <v>2.6216616251224867</v>
      </c>
      <c r="G25" s="355">
        <v>2.7006547683951707</v>
      </c>
      <c r="H25" s="2">
        <v>2.8300105817386414</v>
      </c>
      <c r="I25" s="2">
        <v>3.0408419301569669</v>
      </c>
    </row>
    <row r="26" spans="1:9">
      <c r="A26" s="27"/>
      <c r="B26" s="71"/>
      <c r="C26" s="18">
        <v>0.3</v>
      </c>
      <c r="D26" s="8">
        <v>2.1884927385911461</v>
      </c>
      <c r="E26" s="2">
        <v>2.385239635708535</v>
      </c>
      <c r="F26" s="2">
        <v>2.5855120134700229</v>
      </c>
      <c r="G26" s="2">
        <v>2.6625461414858229</v>
      </c>
      <c r="H26" s="2">
        <v>2.7886877697897532</v>
      </c>
      <c r="I26" s="2">
        <v>2.9942689104611966</v>
      </c>
    </row>
    <row r="27" spans="1:9">
      <c r="A27" s="27"/>
      <c r="B27" s="71"/>
      <c r="C27" s="353">
        <v>0.35</v>
      </c>
      <c r="D27" s="8">
        <v>1.9067116949235998</v>
      </c>
      <c r="E27" s="2">
        <v>2.051585748835854</v>
      </c>
      <c r="F27" s="2">
        <v>2.1986596909502261</v>
      </c>
      <c r="G27" s="2">
        <v>2.2551549876886292</v>
      </c>
      <c r="H27" s="2">
        <v>2.3475960360467836</v>
      </c>
      <c r="I27" s="2">
        <v>2.4981159448399914</v>
      </c>
    </row>
    <row r="28" spans="1:9">
      <c r="A28" s="27"/>
      <c r="B28" s="71"/>
      <c r="C28" s="7"/>
    </row>
    <row r="29" spans="1:9">
      <c r="A29" s="27"/>
      <c r="B29" s="36"/>
      <c r="C29" s="3" t="s">
        <v>236</v>
      </c>
      <c r="D29" s="365" t="s">
        <v>234</v>
      </c>
    </row>
    <row r="30" spans="1:9">
      <c r="A30" s="27"/>
      <c r="C30" s="362">
        <f>B13</f>
        <v>0.37024979357455534</v>
      </c>
      <c r="D30" s="366">
        <v>7.0000000000000007E-2</v>
      </c>
      <c r="E30" s="360">
        <v>0.08</v>
      </c>
      <c r="F30" s="360">
        <v>0.09</v>
      </c>
      <c r="G30" s="361">
        <v>9.3806897670984268E-2</v>
      </c>
      <c r="H30" s="360">
        <v>0.1</v>
      </c>
      <c r="I30" s="360">
        <v>0.11</v>
      </c>
    </row>
    <row r="31" spans="1:9">
      <c r="A31" s="27"/>
      <c r="B31" s="3" t="s">
        <v>235</v>
      </c>
      <c r="C31" s="37">
        <v>0.15</v>
      </c>
      <c r="D31" s="368">
        <f t="dataTable" ref="D31:I36" dt2D="1" dtr="1" r1="B5" r2="B4"/>
        <v>0.19787963906496164</v>
      </c>
      <c r="E31" s="357">
        <v>0.1704100627175342</v>
      </c>
      <c r="F31" s="357">
        <v>0.14925608809247398</v>
      </c>
      <c r="G31" s="357">
        <v>0.1424523685465568</v>
      </c>
      <c r="H31" s="357">
        <v>0.13256186035366316</v>
      </c>
      <c r="I31" s="357">
        <v>0.11910225224746125</v>
      </c>
    </row>
    <row r="32" spans="1:9">
      <c r="A32" s="72"/>
      <c r="B32" s="36"/>
      <c r="C32" s="352">
        <v>0.2</v>
      </c>
      <c r="D32" s="369">
        <v>0.29210437303452763</v>
      </c>
      <c r="E32" s="357">
        <v>0.25826626786535345</v>
      </c>
      <c r="F32" s="357">
        <v>0.23092588341048148</v>
      </c>
      <c r="G32" s="357">
        <v>0.22187812328569581</v>
      </c>
      <c r="H32" s="357">
        <v>0.20849488530298035</v>
      </c>
      <c r="I32" s="357">
        <v>0.18982918158492951</v>
      </c>
    </row>
    <row r="33" spans="1:9">
      <c r="A33" s="72"/>
      <c r="B33" s="71"/>
      <c r="C33" s="18">
        <v>0.25</v>
      </c>
      <c r="D33" s="369">
        <v>0.37937187392691984</v>
      </c>
      <c r="E33" s="357">
        <v>0.34246418138490142</v>
      </c>
      <c r="F33" s="357">
        <v>0.31153522220301072</v>
      </c>
      <c r="G33" s="357">
        <v>0.3010651660269768</v>
      </c>
      <c r="H33" s="357">
        <v>0.2853533673498948</v>
      </c>
      <c r="I33" s="357">
        <v>0.26297481192658584</v>
      </c>
    </row>
    <row r="34" spans="1:9">
      <c r="A34" s="30"/>
      <c r="B34" s="73"/>
      <c r="C34" s="354">
        <v>0.29630000000000001</v>
      </c>
      <c r="D34" s="369">
        <v>0.45154382939453686</v>
      </c>
      <c r="E34" s="357">
        <v>0.41385322858399848</v>
      </c>
      <c r="F34" s="357">
        <v>0.38143747858890026</v>
      </c>
      <c r="G34" s="358">
        <v>0.37028057480824811</v>
      </c>
      <c r="H34" s="357">
        <v>0.35335556921686184</v>
      </c>
      <c r="I34" s="357">
        <v>0.32885629143780598</v>
      </c>
    </row>
    <row r="35" spans="1:9">
      <c r="B35" s="71"/>
      <c r="C35" s="18">
        <v>0.3</v>
      </c>
      <c r="D35" s="369">
        <v>0.45693548914571924</v>
      </c>
      <c r="E35" s="357">
        <v>0.41924508759177576</v>
      </c>
      <c r="F35" s="357">
        <v>0.38677058733055247</v>
      </c>
      <c r="G35" s="357">
        <v>0.37558034560180587</v>
      </c>
      <c r="H35" s="357">
        <v>0.35859159667609286</v>
      </c>
      <c r="I35" s="357">
        <v>0.33397133988408995</v>
      </c>
    </row>
    <row r="36" spans="1:9">
      <c r="A36" s="54"/>
      <c r="B36" s="71"/>
      <c r="C36" s="353">
        <v>0.35</v>
      </c>
      <c r="D36" s="369">
        <v>0.52446313863935734</v>
      </c>
      <c r="E36" s="357">
        <v>0.48742783506243265</v>
      </c>
      <c r="F36" s="357">
        <v>0.45482254671609307</v>
      </c>
      <c r="G36" s="357">
        <v>0.44342850290078184</v>
      </c>
      <c r="H36" s="357">
        <v>0.42596766421702703</v>
      </c>
      <c r="I36" s="357">
        <v>0.40030167617542334</v>
      </c>
    </row>
    <row r="37" spans="1:9">
      <c r="I37" s="70"/>
    </row>
    <row r="38" spans="1:9">
      <c r="C38" s="3" t="s">
        <v>237</v>
      </c>
      <c r="D38" s="370" t="s">
        <v>238</v>
      </c>
      <c r="I38" s="70"/>
    </row>
    <row r="39" spans="1:9">
      <c r="C39" s="363">
        <f>B4</f>
        <v>0.29627858511880334</v>
      </c>
      <c r="D39" s="366">
        <v>0</v>
      </c>
      <c r="E39" s="360">
        <v>0.05</v>
      </c>
      <c r="F39" s="360">
        <v>0.1</v>
      </c>
      <c r="G39" s="364">
        <v>0.15</v>
      </c>
      <c r="H39" s="361">
        <v>0.159</v>
      </c>
      <c r="I39" s="360">
        <v>0.2</v>
      </c>
    </row>
    <row r="40" spans="1:9">
      <c r="C40" s="37">
        <v>0.1</v>
      </c>
      <c r="D40" s="371">
        <f t="dataTable" ref="D40:I45" dt2D="1" dtr="1" r1="D2" r2="D1" ca="1"/>
        <v>0.1</v>
      </c>
      <c r="E40" s="352">
        <v>0.1118033988749895</v>
      </c>
      <c r="F40" s="352">
        <v>0.14142135623730953</v>
      </c>
      <c r="G40" s="352">
        <v>0.18027756377319948</v>
      </c>
      <c r="H40" s="352">
        <v>0.18783237207680684</v>
      </c>
      <c r="I40" s="352">
        <v>0.22360679774997899</v>
      </c>
    </row>
    <row r="41" spans="1:9">
      <c r="C41" s="352">
        <v>0.15</v>
      </c>
      <c r="D41" s="371">
        <v>0.15</v>
      </c>
      <c r="E41" s="352">
        <v>0.15811388300841897</v>
      </c>
      <c r="F41" s="352">
        <v>0.18027756377319948</v>
      </c>
      <c r="G41" s="352">
        <v>0.21213203435596426</v>
      </c>
      <c r="H41" s="352">
        <v>0.21858865478336245</v>
      </c>
      <c r="I41" s="352">
        <v>0.25</v>
      </c>
    </row>
    <row r="42" spans="1:9">
      <c r="C42" s="18">
        <v>0.2</v>
      </c>
      <c r="D42" s="371">
        <v>0.2</v>
      </c>
      <c r="E42" s="352">
        <v>0.20615528128088306</v>
      </c>
      <c r="F42" s="352">
        <v>0.22360679774997899</v>
      </c>
      <c r="G42" s="352">
        <v>0.25</v>
      </c>
      <c r="H42" s="352">
        <v>0.25550146770615623</v>
      </c>
      <c r="I42" s="352">
        <v>0.28284271247461906</v>
      </c>
    </row>
    <row r="43" spans="1:9">
      <c r="C43" s="354">
        <v>0.25</v>
      </c>
      <c r="D43" s="371">
        <v>0.25</v>
      </c>
      <c r="E43" s="352">
        <v>0.25495097567963926</v>
      </c>
      <c r="F43" s="352">
        <v>0.26925824035672524</v>
      </c>
      <c r="G43" s="352">
        <v>0.29154759474226499</v>
      </c>
      <c r="H43" s="356">
        <v>0.29627858511880334</v>
      </c>
      <c r="I43" s="352">
        <v>0.32015621187164245</v>
      </c>
    </row>
    <row r="44" spans="1:9">
      <c r="C44" s="18">
        <v>0.3</v>
      </c>
      <c r="D44" s="371">
        <v>0.3</v>
      </c>
      <c r="E44" s="352">
        <v>0.30413812651491096</v>
      </c>
      <c r="F44" s="352">
        <v>0.31622776601683794</v>
      </c>
      <c r="G44" s="352">
        <v>0.33541019662496846</v>
      </c>
      <c r="H44" s="352">
        <v>0.3395305582712696</v>
      </c>
      <c r="I44" s="352">
        <v>0.36055512754639896</v>
      </c>
    </row>
    <row r="45" spans="1:9">
      <c r="C45" s="353">
        <v>0.35</v>
      </c>
      <c r="D45" s="371">
        <v>0.35</v>
      </c>
      <c r="E45" s="352">
        <v>0.35355339059327373</v>
      </c>
      <c r="F45" s="352">
        <v>0.36400549446402586</v>
      </c>
      <c r="G45" s="352">
        <v>0.38078865529319539</v>
      </c>
      <c r="H45" s="352">
        <v>0.38442294416436695</v>
      </c>
      <c r="I45" s="352">
        <v>0.40311288741492746</v>
      </c>
    </row>
    <row r="46" spans="1:9">
      <c r="I46" s="70"/>
    </row>
    <row r="47" spans="1:9">
      <c r="I47" s="70"/>
    </row>
    <row r="48" spans="1:9">
      <c r="I48" s="70"/>
    </row>
    <row r="49" spans="9:9">
      <c r="I49" s="70"/>
    </row>
    <row r="50" spans="9:9">
      <c r="I50" s="70"/>
    </row>
    <row r="53" spans="9:9">
      <c r="I53" s="70"/>
    </row>
    <row r="54" spans="9:9">
      <c r="I54" s="70"/>
    </row>
    <row r="55" spans="9:9">
      <c r="I55" s="70"/>
    </row>
    <row r="56" spans="9:9">
      <c r="I56" s="70"/>
    </row>
    <row r="57" spans="9:9">
      <c r="I57" s="70"/>
    </row>
    <row r="58" spans="9:9">
      <c r="I58" s="70"/>
    </row>
    <row r="59" spans="9:9">
      <c r="I59" s="70"/>
    </row>
    <row r="60" spans="9:9">
      <c r="I60" s="70"/>
    </row>
    <row r="61" spans="9:9">
      <c r="I61" s="70"/>
    </row>
    <row r="62" spans="9:9">
      <c r="I62" s="70"/>
    </row>
    <row r="63" spans="9:9">
      <c r="I63" s="70"/>
    </row>
    <row r="64" spans="9:9">
      <c r="I64" s="70"/>
    </row>
    <row r="65" spans="9:9">
      <c r="I65" s="70"/>
    </row>
    <row r="66" spans="9:9">
      <c r="I66" s="70"/>
    </row>
    <row r="67" spans="9:9">
      <c r="I67" s="70"/>
    </row>
    <row r="68" spans="9:9">
      <c r="I68" s="70"/>
    </row>
    <row r="69" spans="9:9">
      <c r="I69" s="70"/>
    </row>
    <row r="70" spans="9:9">
      <c r="I70" s="70"/>
    </row>
    <row r="71" spans="9:9">
      <c r="I71" s="70"/>
    </row>
    <row r="72" spans="9:9">
      <c r="I72" s="70"/>
    </row>
    <row r="73" spans="9:9">
      <c r="I73" s="70"/>
    </row>
  </sheetData>
  <phoneticPr fontId="0" type="noConversion"/>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dimension ref="A1:AL296"/>
  <sheetViews>
    <sheetView zoomScale="90" workbookViewId="0"/>
  </sheetViews>
  <sheetFormatPr defaultRowHeight="15"/>
  <cols>
    <col min="1" max="1" width="25.44140625" customWidth="1"/>
    <col min="2" max="2" width="11.5546875" customWidth="1"/>
    <col min="3" max="3" width="11.44140625" customWidth="1"/>
  </cols>
  <sheetData>
    <row r="1" spans="1:38" ht="16.5" thickBot="1">
      <c r="A1" s="1" t="s">
        <v>206</v>
      </c>
      <c r="M1" s="7"/>
      <c r="N1" s="7"/>
      <c r="O1" s="7"/>
      <c r="P1" s="7"/>
      <c r="Q1" s="7"/>
      <c r="R1" s="7"/>
      <c r="S1" s="7"/>
      <c r="T1" s="7"/>
      <c r="U1" s="7"/>
      <c r="V1" s="7"/>
      <c r="W1" s="7"/>
      <c r="X1" s="7"/>
      <c r="Y1" s="7"/>
      <c r="Z1" s="7"/>
      <c r="AA1" s="7"/>
      <c r="AB1" s="7"/>
      <c r="AC1" s="7"/>
      <c r="AD1" s="7"/>
      <c r="AE1" s="7"/>
      <c r="AF1" s="7"/>
      <c r="AG1" s="7"/>
      <c r="AH1" s="7"/>
      <c r="AI1" s="7"/>
      <c r="AJ1" s="7"/>
      <c r="AK1" s="7"/>
      <c r="AL1" s="7"/>
    </row>
    <row r="2" spans="1:38">
      <c r="A2" s="9" t="s">
        <v>58</v>
      </c>
      <c r="B2" s="11"/>
      <c r="C2" s="128" t="s">
        <v>0</v>
      </c>
      <c r="D2" s="78"/>
      <c r="F2" s="104" t="s">
        <v>81</v>
      </c>
      <c r="G2" s="105"/>
      <c r="H2" s="105"/>
      <c r="I2" s="105"/>
      <c r="J2" s="105"/>
      <c r="K2" s="105"/>
      <c r="L2" s="105"/>
      <c r="M2" s="105"/>
      <c r="N2" s="105"/>
      <c r="O2" s="105"/>
      <c r="P2" s="106"/>
      <c r="Q2" s="7"/>
      <c r="R2" s="7"/>
      <c r="S2" s="7"/>
      <c r="T2" s="7"/>
      <c r="U2" s="7"/>
      <c r="V2" s="7"/>
      <c r="W2" s="7"/>
      <c r="X2" s="7"/>
      <c r="Y2" s="7"/>
      <c r="Z2" s="7"/>
      <c r="AA2" s="7"/>
      <c r="AB2" s="7"/>
      <c r="AC2" s="7"/>
      <c r="AD2" s="7"/>
      <c r="AE2" s="7"/>
      <c r="AF2" s="7"/>
      <c r="AG2" s="7"/>
      <c r="AH2" s="7"/>
      <c r="AI2" s="7"/>
      <c r="AJ2" s="7"/>
      <c r="AK2" s="7"/>
      <c r="AL2" s="7"/>
    </row>
    <row r="3" spans="1:38" ht="15.75">
      <c r="A3" s="12" t="s">
        <v>59</v>
      </c>
      <c r="B3" s="85">
        <v>1</v>
      </c>
      <c r="C3" s="129" t="s">
        <v>77</v>
      </c>
      <c r="D3" s="92">
        <f>(D$6-$D$10+D$9^2/2+(($D$10-D$6-D$9^2/2)^2+2*$D$10*D$9^2)^0.5)/D$9^2</f>
        <v>6.6310344790008759</v>
      </c>
      <c r="F3" s="100"/>
      <c r="G3" s="93" t="s">
        <v>82</v>
      </c>
      <c r="H3" s="94">
        <v>0.2</v>
      </c>
      <c r="I3" s="107"/>
      <c r="J3" s="107"/>
      <c r="K3" s="107"/>
      <c r="L3" s="107"/>
      <c r="M3" s="107"/>
      <c r="N3" s="107"/>
      <c r="O3" s="107"/>
      <c r="P3" s="108"/>
      <c r="Q3" s="7"/>
      <c r="R3" s="7"/>
      <c r="S3" s="7"/>
      <c r="T3" s="7"/>
      <c r="U3" s="7"/>
      <c r="V3" s="7"/>
      <c r="W3" s="7"/>
      <c r="X3" s="7"/>
      <c r="Y3" s="7"/>
      <c r="Z3" s="7"/>
      <c r="AA3" s="7"/>
      <c r="AB3" s="7"/>
      <c r="AC3" s="7"/>
      <c r="AD3" s="7"/>
      <c r="AE3" s="7"/>
      <c r="AF3" s="7"/>
      <c r="AG3" s="7"/>
      <c r="AH3" s="7"/>
      <c r="AI3" s="7"/>
      <c r="AJ3" s="7"/>
      <c r="AK3" s="7"/>
      <c r="AL3" s="7"/>
    </row>
    <row r="4" spans="1:38" ht="15.75">
      <c r="A4" s="12" t="s">
        <v>60</v>
      </c>
      <c r="B4" s="77">
        <v>0.04</v>
      </c>
      <c r="C4" s="124" t="s">
        <v>2</v>
      </c>
      <c r="D4" s="83">
        <f>B4*B$3</f>
        <v>0.04</v>
      </c>
      <c r="F4" s="114" t="s">
        <v>83</v>
      </c>
      <c r="G4" s="113">
        <f>NPV(H3*B3,I5:L5)</f>
        <v>16.037735777515195</v>
      </c>
      <c r="H4" s="107"/>
      <c r="I4" s="107"/>
      <c r="J4" s="107"/>
      <c r="K4" s="107"/>
      <c r="L4" s="107"/>
      <c r="M4" s="107"/>
      <c r="N4" s="107"/>
      <c r="O4" s="107"/>
      <c r="P4" s="108"/>
      <c r="Q4" s="7"/>
      <c r="R4" s="7"/>
      <c r="S4" s="7"/>
      <c r="T4" s="7"/>
      <c r="U4" s="7"/>
      <c r="V4" s="7"/>
      <c r="W4" s="7"/>
      <c r="X4" s="7"/>
      <c r="Y4" s="7"/>
      <c r="Z4" s="7"/>
      <c r="AA4" s="7"/>
      <c r="AB4" s="7"/>
      <c r="AC4" s="7"/>
      <c r="AD4" s="7"/>
      <c r="AE4" s="7"/>
      <c r="AF4" s="7"/>
      <c r="AG4" s="7"/>
      <c r="AH4" s="7"/>
      <c r="AI4" s="7"/>
      <c r="AJ4" s="7"/>
      <c r="AK4" s="7"/>
      <c r="AL4" s="7"/>
    </row>
    <row r="5" spans="1:38" ht="15.75">
      <c r="A5" s="12" t="s">
        <v>63</v>
      </c>
      <c r="B5" s="77">
        <v>0.09</v>
      </c>
      <c r="C5" s="124" t="s">
        <v>65</v>
      </c>
      <c r="D5" s="83">
        <f>B5*B$3</f>
        <v>0.09</v>
      </c>
      <c r="E5" s="3"/>
      <c r="F5" s="101" t="s">
        <v>45</v>
      </c>
      <c r="G5" s="99">
        <f>(1+IRR(H5:L5))^(1/B3)-1</f>
        <v>0.34362230884843581</v>
      </c>
      <c r="H5" s="67">
        <f>-D14</f>
        <v>-11.456568766571666</v>
      </c>
      <c r="I5" s="67">
        <v>0</v>
      </c>
      <c r="J5" s="67">
        <f>D129-D140</f>
        <v>11.177055144032927</v>
      </c>
      <c r="K5" s="67">
        <v>0</v>
      </c>
      <c r="L5" s="67">
        <f>F75-F88</f>
        <v>17.160889500848086</v>
      </c>
      <c r="M5" s="107"/>
      <c r="N5" s="107"/>
      <c r="O5" s="107"/>
      <c r="P5" s="108"/>
      <c r="Q5" s="7"/>
      <c r="R5" s="7"/>
      <c r="S5" s="7"/>
      <c r="T5" s="7"/>
      <c r="U5" s="7"/>
      <c r="V5" s="7"/>
      <c r="W5" s="7"/>
      <c r="X5" s="7"/>
      <c r="Y5" s="7"/>
      <c r="Z5" s="7"/>
      <c r="AA5" s="7"/>
      <c r="AB5" s="7"/>
      <c r="AC5" s="7"/>
      <c r="AD5" s="7"/>
      <c r="AE5" s="7"/>
      <c r="AF5" s="7"/>
      <c r="AG5" s="7"/>
      <c r="AH5" s="7"/>
      <c r="AI5" s="7"/>
      <c r="AJ5" s="7"/>
      <c r="AK5" s="7"/>
      <c r="AL5" s="7"/>
    </row>
    <row r="6" spans="1:38" ht="15.75">
      <c r="A6" s="12" t="s">
        <v>107</v>
      </c>
      <c r="B6" s="77">
        <v>0.08</v>
      </c>
      <c r="C6" s="124" t="s">
        <v>64</v>
      </c>
      <c r="D6" s="83">
        <f>B6*B$3</f>
        <v>0.08</v>
      </c>
      <c r="E6" s="3"/>
      <c r="F6" s="102" t="s">
        <v>89</v>
      </c>
      <c r="G6" s="67"/>
      <c r="H6" s="107"/>
      <c r="I6" s="107"/>
      <c r="J6" s="107"/>
      <c r="K6" s="107"/>
      <c r="L6" s="107"/>
      <c r="M6" s="107"/>
      <c r="N6" s="107"/>
      <c r="O6" s="107"/>
      <c r="P6" s="109"/>
      <c r="Q6" s="7"/>
      <c r="R6" s="7"/>
      <c r="S6" s="7"/>
      <c r="T6" s="7"/>
      <c r="U6" s="7"/>
      <c r="V6" s="7"/>
      <c r="W6" s="7"/>
      <c r="X6" s="7"/>
      <c r="Y6" s="7"/>
      <c r="Z6" s="7"/>
      <c r="AA6" s="7"/>
      <c r="AB6" s="7"/>
      <c r="AC6" s="7"/>
      <c r="AD6" s="7"/>
      <c r="AE6" s="7"/>
      <c r="AF6" s="7"/>
      <c r="AG6" s="7"/>
      <c r="AH6" s="7"/>
      <c r="AI6" s="7"/>
      <c r="AJ6" s="7"/>
      <c r="AK6" s="7"/>
      <c r="AL6" s="7"/>
    </row>
    <row r="7" spans="1:38" ht="15.75">
      <c r="A7" s="12" t="s">
        <v>62</v>
      </c>
      <c r="B7" s="77">
        <v>0.02</v>
      </c>
      <c r="C7" s="124" t="s">
        <v>4</v>
      </c>
      <c r="D7" s="83">
        <f>B7*B$3</f>
        <v>0.02</v>
      </c>
      <c r="E7" s="3"/>
      <c r="F7" s="114" t="s">
        <v>83</v>
      </c>
      <c r="G7" s="113">
        <f>L8+M8</f>
        <v>4.7503131147475486</v>
      </c>
      <c r="H7" s="97" t="s">
        <v>44</v>
      </c>
      <c r="I7" s="97" t="s">
        <v>85</v>
      </c>
      <c r="J7" s="97" t="s">
        <v>43</v>
      </c>
      <c r="K7" s="97" t="s">
        <v>86</v>
      </c>
      <c r="L7" s="115" t="s">
        <v>90</v>
      </c>
      <c r="M7" s="116" t="s">
        <v>91</v>
      </c>
      <c r="N7" s="117" t="s">
        <v>84</v>
      </c>
      <c r="O7" s="97" t="s">
        <v>88</v>
      </c>
      <c r="P7" s="103" t="s">
        <v>87</v>
      </c>
      <c r="Q7" s="7"/>
      <c r="R7" s="7"/>
      <c r="S7" s="7"/>
      <c r="T7" s="7"/>
      <c r="U7" s="7"/>
      <c r="V7" s="7"/>
      <c r="W7" s="7"/>
      <c r="X7" s="7"/>
      <c r="Y7" s="7"/>
      <c r="Z7" s="7"/>
      <c r="AA7" s="7"/>
      <c r="AB7" s="7"/>
      <c r="AC7" s="7"/>
      <c r="AD7" s="7"/>
      <c r="AE7" s="7"/>
      <c r="AF7" s="7"/>
      <c r="AG7" s="7"/>
      <c r="AH7" s="7"/>
      <c r="AI7" s="7"/>
      <c r="AJ7" s="7"/>
      <c r="AK7" s="7"/>
      <c r="AL7" s="7"/>
    </row>
    <row r="8" spans="1:38" ht="15.75">
      <c r="A8" s="12"/>
      <c r="B8" s="132"/>
      <c r="C8" s="79" t="s">
        <v>105</v>
      </c>
      <c r="D8" s="83">
        <f>(1+D5)/(1+D6)-1</f>
        <v>9.2592592592593004E-3</v>
      </c>
      <c r="E8" s="3"/>
      <c r="F8" s="101" t="s">
        <v>92</v>
      </c>
      <c r="G8" s="98">
        <f>G7-N8</f>
        <v>-6.706255651824117</v>
      </c>
      <c r="H8" s="97">
        <f>B12/(1+D6)^2</f>
        <v>51.440329218106989</v>
      </c>
      <c r="I8" s="97">
        <f>B13*(1+D7)^2/(1+D4)^2</f>
        <v>46.171597633136088</v>
      </c>
      <c r="J8" s="97">
        <f>B10/(1+D6)^4</f>
        <v>73.50298527964533</v>
      </c>
      <c r="K8" s="97">
        <f>B11*(1+D7)^4/(1+D4)^4</f>
        <v>74.021403749868682</v>
      </c>
      <c r="L8" s="118">
        <f>H8-I8</f>
        <v>5.2687315849709009</v>
      </c>
      <c r="M8" s="119">
        <f>J8-K8</f>
        <v>-0.5184184702233523</v>
      </c>
      <c r="N8" s="120">
        <f>D14</f>
        <v>11.456568766571666</v>
      </c>
      <c r="O8" s="97">
        <f>J8+H8</f>
        <v>124.94331449775231</v>
      </c>
      <c r="P8" s="103">
        <f>I8+K8+N8</f>
        <v>131.64957014957645</v>
      </c>
      <c r="Q8" s="7"/>
      <c r="R8" s="7"/>
      <c r="S8" s="7"/>
      <c r="T8" s="7"/>
      <c r="U8" s="7"/>
      <c r="V8" s="7"/>
      <c r="W8" s="7"/>
      <c r="X8" s="7"/>
      <c r="Y8" s="7"/>
      <c r="Z8" s="7"/>
      <c r="AA8" s="7"/>
      <c r="AB8" s="7"/>
      <c r="AC8" s="7"/>
      <c r="AD8" s="7"/>
      <c r="AE8" s="7"/>
      <c r="AF8" s="7"/>
      <c r="AG8" s="7"/>
      <c r="AH8" s="7"/>
      <c r="AI8" s="7"/>
      <c r="AJ8" s="7"/>
      <c r="AK8" s="7"/>
      <c r="AL8" s="7"/>
    </row>
    <row r="9" spans="1:38" ht="15.75" thickBot="1">
      <c r="A9" s="12" t="s">
        <v>61</v>
      </c>
      <c r="B9" s="87">
        <v>0.15</v>
      </c>
      <c r="C9" s="124" t="s">
        <v>3</v>
      </c>
      <c r="D9" s="83">
        <f>B9*SQRT(B$3)</f>
        <v>0.15</v>
      </c>
      <c r="E9" s="3"/>
      <c r="F9" s="112"/>
      <c r="G9" s="110"/>
      <c r="H9" s="110"/>
      <c r="I9" s="110"/>
      <c r="J9" s="110"/>
      <c r="K9" s="110"/>
      <c r="L9" s="110"/>
      <c r="M9" s="110"/>
      <c r="N9" s="110"/>
      <c r="O9" s="110"/>
      <c r="P9" s="111"/>
      <c r="Q9" s="7"/>
      <c r="R9" s="7"/>
      <c r="S9" s="7"/>
      <c r="T9" s="7"/>
      <c r="U9" s="7"/>
      <c r="V9" s="7"/>
      <c r="W9" s="7"/>
      <c r="X9" s="7"/>
      <c r="Y9" s="7"/>
      <c r="Z9" s="7"/>
      <c r="AA9" s="7"/>
      <c r="AB9" s="7"/>
      <c r="AC9" s="7"/>
      <c r="AD9" s="7"/>
      <c r="AE9" s="7"/>
      <c r="AF9" s="7"/>
      <c r="AG9" s="7"/>
      <c r="AH9" s="7"/>
      <c r="AI9" s="7"/>
      <c r="AJ9" s="7"/>
      <c r="AK9" s="7"/>
      <c r="AL9" s="7"/>
    </row>
    <row r="10" spans="1:38" ht="15.75">
      <c r="A10" s="12" t="s">
        <v>70</v>
      </c>
      <c r="B10" s="84">
        <v>100</v>
      </c>
      <c r="C10" s="129" t="s">
        <v>76</v>
      </c>
      <c r="D10" s="91">
        <f>(1+D4)/(1+D7)-1</f>
        <v>1.9607843137254832E-2</v>
      </c>
      <c r="F10" s="26" t="s">
        <v>182</v>
      </c>
      <c r="G10" s="313">
        <f>(((D129-D140)*((1+D5)^2)*((1+D4)^2))/(((1+D4)^2)*D129-((1+D5)^2)*D140))^(1/2)-1</f>
        <v>0.45650057287266299</v>
      </c>
      <c r="H10" s="14"/>
      <c r="M10" s="7"/>
      <c r="N10" s="7"/>
      <c r="O10" s="7"/>
      <c r="P10" s="7"/>
      <c r="Q10" s="7"/>
      <c r="R10" s="7"/>
      <c r="S10" s="7"/>
      <c r="T10" s="7"/>
      <c r="U10" s="7"/>
      <c r="V10" s="7"/>
      <c r="W10" s="7"/>
      <c r="X10" s="7"/>
      <c r="Y10" s="7"/>
      <c r="Z10" s="7"/>
      <c r="AA10" s="7"/>
      <c r="AB10" s="7"/>
      <c r="AC10" s="7"/>
      <c r="AD10" s="7"/>
      <c r="AE10" s="7"/>
      <c r="AF10" s="7"/>
      <c r="AG10" s="7"/>
      <c r="AH10" s="7"/>
      <c r="AI10" s="7"/>
      <c r="AJ10" s="7"/>
      <c r="AK10" s="7"/>
      <c r="AL10" s="7"/>
    </row>
    <row r="11" spans="1:38" ht="15.75">
      <c r="A11" s="12" t="s">
        <v>93</v>
      </c>
      <c r="B11" s="84">
        <v>80</v>
      </c>
      <c r="C11" s="124" t="s">
        <v>1</v>
      </c>
      <c r="D11" s="80">
        <f>((1+D5)-1/(1+D9))/((1+D9)-1/(1+D9))</f>
        <v>0.7860465116279074</v>
      </c>
      <c r="F11" s="26" t="s">
        <v>184</v>
      </c>
      <c r="G11" s="313">
        <f>(((F75-F88)*((1+D5)^2)*((1+D4)^2))/(((1+D4)^2)*F75-((1+D5)^2)*F88))^(1/2)-1</f>
        <v>0.53667477867745483</v>
      </c>
      <c r="H11" s="14"/>
      <c r="M11" s="7"/>
      <c r="N11" s="7"/>
      <c r="O11" s="7"/>
      <c r="P11" s="7"/>
      <c r="Q11" s="7"/>
      <c r="R11" s="7"/>
      <c r="S11" s="7"/>
      <c r="T11" s="7"/>
      <c r="U11" s="7"/>
      <c r="V11" s="7"/>
      <c r="W11" s="7"/>
      <c r="X11" s="7"/>
      <c r="Y11" s="7"/>
      <c r="Z11" s="7"/>
      <c r="AA11" s="7"/>
      <c r="AB11" s="7"/>
      <c r="AC11" s="7"/>
      <c r="AD11" s="7"/>
      <c r="AE11" s="7"/>
      <c r="AF11" s="7"/>
      <c r="AG11" s="7"/>
      <c r="AH11" s="7"/>
      <c r="AI11" s="7"/>
      <c r="AJ11" s="7"/>
      <c r="AK11" s="7"/>
      <c r="AL11" s="7"/>
    </row>
    <row r="12" spans="1:38" ht="15.75">
      <c r="A12" s="12" t="s">
        <v>71</v>
      </c>
      <c r="B12" s="84">
        <v>60</v>
      </c>
      <c r="C12" s="125" t="s">
        <v>6</v>
      </c>
      <c r="D12" s="81">
        <f>(1+D9)</f>
        <v>1.1499999999999999</v>
      </c>
      <c r="F12" s="26" t="s">
        <v>185</v>
      </c>
      <c r="G12" s="314">
        <f>J5/(1+G10)^2+L5/(1+G11)^4</f>
        <v>8.3463299440101721</v>
      </c>
      <c r="H12" s="14"/>
      <c r="M12" s="7"/>
      <c r="N12" s="7"/>
      <c r="O12" s="7"/>
      <c r="P12" s="7"/>
      <c r="Q12" s="7"/>
      <c r="R12" s="7"/>
      <c r="S12" s="7"/>
      <c r="T12" s="7"/>
      <c r="U12" s="7"/>
      <c r="V12" s="7"/>
      <c r="W12" s="7"/>
      <c r="X12" s="7"/>
      <c r="Y12" s="7"/>
      <c r="Z12" s="7"/>
      <c r="AA12" s="7"/>
      <c r="AB12" s="7"/>
      <c r="AC12" s="7"/>
      <c r="AD12" s="7"/>
      <c r="AE12" s="7"/>
      <c r="AF12" s="7"/>
      <c r="AG12" s="7"/>
      <c r="AH12" s="7"/>
      <c r="AI12" s="7"/>
      <c r="AJ12" s="7"/>
      <c r="AK12" s="7"/>
      <c r="AL12" s="7"/>
    </row>
    <row r="13" spans="1:38" ht="15.75" thickBot="1">
      <c r="A13" s="12" t="s">
        <v>72</v>
      </c>
      <c r="B13" s="84">
        <v>48</v>
      </c>
      <c r="C13" s="125" t="s">
        <v>15</v>
      </c>
      <c r="D13" s="82">
        <f>1/D12</f>
        <v>0.86956521739130443</v>
      </c>
      <c r="G13" s="90"/>
      <c r="H13" s="14"/>
      <c r="M13" s="7"/>
      <c r="N13" s="7"/>
      <c r="O13" s="7"/>
      <c r="P13" s="7"/>
      <c r="Q13" s="7"/>
      <c r="R13" s="7"/>
      <c r="S13" s="7"/>
      <c r="T13" s="7"/>
      <c r="U13" s="7"/>
      <c r="V13" s="7"/>
      <c r="W13" s="7"/>
      <c r="X13" s="7"/>
      <c r="Y13" s="7"/>
      <c r="Z13" s="7"/>
      <c r="AA13" s="7"/>
      <c r="AB13" s="7"/>
      <c r="AC13" s="7"/>
      <c r="AD13" s="7"/>
      <c r="AE13" s="7"/>
      <c r="AF13" s="7"/>
      <c r="AG13" s="7"/>
      <c r="AH13" s="7"/>
      <c r="AI13" s="7"/>
      <c r="AJ13" s="7"/>
      <c r="AK13" s="7"/>
      <c r="AL13" s="7"/>
    </row>
    <row r="14" spans="1:38" ht="16.5" thickBot="1">
      <c r="A14" s="12" t="s">
        <v>73</v>
      </c>
      <c r="B14" s="84">
        <v>40</v>
      </c>
      <c r="C14" s="130" t="s">
        <v>80</v>
      </c>
      <c r="D14" s="86">
        <f>B154</f>
        <v>11.456568766571666</v>
      </c>
      <c r="E14" s="126" t="s">
        <v>106</v>
      </c>
      <c r="F14" s="127">
        <f>B177</f>
        <v>0.30851077673343652</v>
      </c>
      <c r="G14" s="90"/>
      <c r="H14" s="14"/>
      <c r="M14" s="7"/>
      <c r="N14" s="7"/>
      <c r="O14" s="7"/>
      <c r="P14" s="7"/>
      <c r="Q14" s="7"/>
      <c r="R14" s="7"/>
      <c r="S14" s="7"/>
      <c r="T14" s="7"/>
      <c r="U14" s="7"/>
      <c r="V14" s="7"/>
      <c r="W14" s="7"/>
      <c r="X14" s="7"/>
      <c r="Y14" s="7"/>
      <c r="Z14" s="7"/>
      <c r="AA14" s="7"/>
      <c r="AB14" s="7"/>
      <c r="AC14" s="7"/>
      <c r="AD14" s="7"/>
      <c r="AE14" s="7"/>
      <c r="AF14" s="7"/>
      <c r="AG14" s="7"/>
      <c r="AH14" s="7"/>
      <c r="AI14" s="7"/>
      <c r="AJ14" s="7"/>
      <c r="AK14" s="7"/>
      <c r="AL14" s="7"/>
    </row>
    <row r="15" spans="1:38" ht="16.5" thickBot="1">
      <c r="A15" s="13" t="s">
        <v>74</v>
      </c>
      <c r="B15" s="133">
        <v>32</v>
      </c>
      <c r="C15" s="131" t="s">
        <v>46</v>
      </c>
      <c r="D15" s="68">
        <f>B154-B54</f>
        <v>5.8041471141500107</v>
      </c>
      <c r="G15" s="90"/>
      <c r="H15" s="14"/>
      <c r="M15" s="7"/>
      <c r="N15" s="7"/>
      <c r="O15" s="7"/>
      <c r="P15" s="7"/>
      <c r="Q15" s="7"/>
      <c r="R15" s="7"/>
      <c r="S15" s="7"/>
      <c r="T15" s="7"/>
      <c r="U15" s="7"/>
      <c r="V15" s="7"/>
      <c r="W15" s="7"/>
      <c r="X15" s="7"/>
      <c r="Y15" s="7"/>
      <c r="Z15" s="7"/>
      <c r="AA15" s="7"/>
      <c r="AB15" s="7"/>
      <c r="AC15" s="7"/>
      <c r="AD15" s="7"/>
      <c r="AE15" s="7"/>
      <c r="AF15" s="7"/>
      <c r="AG15" s="7"/>
      <c r="AH15" s="7"/>
      <c r="AI15" s="7"/>
      <c r="AJ15" s="7"/>
      <c r="AK15" s="7"/>
      <c r="AL15" s="7"/>
    </row>
    <row r="16" spans="1:38" ht="15.75">
      <c r="A16" s="14" t="s">
        <v>75</v>
      </c>
      <c r="U16" s="57"/>
      <c r="V16" s="7"/>
      <c r="W16" s="7"/>
      <c r="X16" s="7"/>
      <c r="Y16" s="19"/>
      <c r="Z16" s="7"/>
      <c r="AA16" s="7"/>
      <c r="AB16" s="7"/>
      <c r="AC16" s="7"/>
      <c r="AD16" s="7"/>
      <c r="AE16" s="7"/>
      <c r="AF16" s="7"/>
      <c r="AG16" s="7"/>
      <c r="AH16" s="7"/>
      <c r="AI16" s="7"/>
      <c r="AJ16" s="7"/>
      <c r="AK16" s="7"/>
      <c r="AL16" s="7"/>
    </row>
    <row r="17" spans="1:38" ht="15.75">
      <c r="U17" s="57"/>
      <c r="V17" s="7"/>
      <c r="W17" s="7"/>
      <c r="X17" s="7"/>
      <c r="Y17" s="7"/>
      <c r="Z17" s="7"/>
      <c r="AA17" s="7"/>
      <c r="AB17" s="7"/>
      <c r="AC17" s="7"/>
      <c r="AD17" s="7"/>
      <c r="AE17" s="7"/>
      <c r="AF17" s="7"/>
      <c r="AG17" s="7"/>
      <c r="AH17" s="7"/>
      <c r="AI17" s="7"/>
      <c r="AJ17" s="7"/>
      <c r="AK17" s="7"/>
      <c r="AL17" s="7"/>
    </row>
    <row r="18" spans="1:38" ht="15.75">
      <c r="A18" s="26" t="s">
        <v>30</v>
      </c>
      <c r="B18" s="22">
        <v>0</v>
      </c>
      <c r="C18" s="22">
        <v>1</v>
      </c>
      <c r="D18" s="22">
        <v>2</v>
      </c>
      <c r="E18" s="22">
        <v>3</v>
      </c>
      <c r="F18" s="22">
        <v>4</v>
      </c>
      <c r="G18" s="22">
        <v>5</v>
      </c>
      <c r="H18" s="22">
        <v>6</v>
      </c>
      <c r="I18" s="22">
        <v>7</v>
      </c>
      <c r="P18" s="14"/>
      <c r="Q18" s="14"/>
    </row>
    <row r="19" spans="1:38" ht="15.75">
      <c r="A19" s="63" t="s">
        <v>48</v>
      </c>
      <c r="B19" s="6"/>
      <c r="C19" s="64">
        <f t="shared" ref="C19:I19" si="0">$B$14*((1+$D$5)/(1+$D$6))^C18</f>
        <v>40.370370370370374</v>
      </c>
      <c r="D19" s="64">
        <f t="shared" si="0"/>
        <v>40.744170096021946</v>
      </c>
      <c r="E19" s="64">
        <f t="shared" si="0"/>
        <v>41.121430930244372</v>
      </c>
      <c r="F19" s="64">
        <f t="shared" si="0"/>
        <v>41.502184920339232</v>
      </c>
      <c r="G19" s="64">
        <f t="shared" si="0"/>
        <v>41.886464410342377</v>
      </c>
      <c r="H19" s="64">
        <f t="shared" si="0"/>
        <v>42.27430204377147</v>
      </c>
      <c r="I19" s="64">
        <f t="shared" si="0"/>
        <v>42.665730766398994</v>
      </c>
      <c r="J19" s="58"/>
      <c r="K19" s="58"/>
      <c r="L19" s="58"/>
      <c r="M19" s="58"/>
      <c r="N19" s="58"/>
      <c r="O19" s="58"/>
      <c r="P19" s="28"/>
      <c r="Q19" s="2"/>
      <c r="R19" s="2"/>
    </row>
    <row r="20" spans="1:38" ht="15.75">
      <c r="A20" s="20" t="s">
        <v>10</v>
      </c>
      <c r="B20" s="21" t="s">
        <v>49</v>
      </c>
      <c r="O20" s="2"/>
      <c r="P20" s="28"/>
      <c r="Q20" s="2"/>
      <c r="R20" s="2"/>
    </row>
    <row r="21" spans="1:38" ht="15.75">
      <c r="A21" s="20">
        <v>0</v>
      </c>
      <c r="B21" s="23">
        <f>B14</f>
        <v>40</v>
      </c>
      <c r="C21" s="23">
        <f t="shared" ref="C21:I21" si="1">(1+$D$9)/(1+$D$6)*B21</f>
        <v>42.592592592592588</v>
      </c>
      <c r="D21" s="23">
        <f t="shared" si="1"/>
        <v>45.353223593964323</v>
      </c>
      <c r="E21" s="23">
        <f t="shared" si="1"/>
        <v>48.292784382462003</v>
      </c>
      <c r="F21" s="23">
        <f t="shared" si="1"/>
        <v>51.422872259103052</v>
      </c>
      <c r="G21" s="23">
        <f t="shared" si="1"/>
        <v>54.755836201822689</v>
      </c>
      <c r="H21" s="23">
        <f t="shared" si="1"/>
        <v>58.304825585274152</v>
      </c>
      <c r="I21" s="23">
        <f t="shared" si="1"/>
        <v>62.083842058393763</v>
      </c>
      <c r="J21" s="2"/>
      <c r="K21" s="2"/>
      <c r="L21" s="2"/>
      <c r="M21" s="2"/>
      <c r="N21" s="2"/>
      <c r="O21" s="2"/>
      <c r="P21" s="28"/>
      <c r="Q21" s="2"/>
      <c r="R21" s="2"/>
    </row>
    <row r="22" spans="1:38" ht="15.75">
      <c r="A22" s="20">
        <f>1+A21</f>
        <v>1</v>
      </c>
      <c r="B22" s="22"/>
      <c r="C22" s="23">
        <f t="shared" ref="C22:I22" si="2">1/(1+$D$9)/(1+$D$6)*B21</f>
        <v>32.206119162640903</v>
      </c>
      <c r="D22" s="23">
        <f t="shared" si="2"/>
        <v>34.293552812071326</v>
      </c>
      <c r="E22" s="23">
        <f t="shared" si="2"/>
        <v>36.5162830869278</v>
      </c>
      <c r="F22" s="23">
        <f t="shared" si="2"/>
        <v>38.883079212932373</v>
      </c>
      <c r="G22" s="23">
        <f t="shared" si="2"/>
        <v>41.403278791548352</v>
      </c>
      <c r="H22" s="23">
        <f t="shared" si="2"/>
        <v>44.086824639148702</v>
      </c>
      <c r="I22" s="23">
        <f t="shared" si="2"/>
        <v>46.944304013908337</v>
      </c>
      <c r="J22" s="2"/>
      <c r="K22" s="2"/>
      <c r="L22" s="2"/>
      <c r="M22" s="2"/>
      <c r="N22" s="2"/>
      <c r="O22" s="2"/>
      <c r="P22" s="28"/>
      <c r="Q22" s="2"/>
      <c r="R22" s="2"/>
    </row>
    <row r="23" spans="1:38" ht="15.75">
      <c r="A23" s="20">
        <f t="shared" ref="A23:A28" si="3">1+A22</f>
        <v>2</v>
      </c>
      <c r="B23" s="22"/>
      <c r="C23" s="22"/>
      <c r="D23" s="23">
        <f t="shared" ref="D23:I23" si="4">1/(1+$D$9)/(1+$D$6)*C22</f>
        <v>25.93085278795564</v>
      </c>
      <c r="E23" s="23">
        <f t="shared" si="4"/>
        <v>27.611556209397204</v>
      </c>
      <c r="F23" s="23">
        <f t="shared" si="4"/>
        <v>29.401194111858132</v>
      </c>
      <c r="G23" s="23">
        <f t="shared" si="4"/>
        <v>31.306827063552635</v>
      </c>
      <c r="H23" s="23">
        <f t="shared" si="4"/>
        <v>33.335973262116227</v>
      </c>
      <c r="I23" s="23">
        <f t="shared" si="4"/>
        <v>35.496638195771901</v>
      </c>
      <c r="J23" s="2"/>
      <c r="K23" s="2"/>
      <c r="L23" s="2"/>
      <c r="M23" s="2"/>
      <c r="N23" s="2"/>
      <c r="O23" s="2"/>
      <c r="P23" s="28"/>
      <c r="Q23" s="2"/>
      <c r="R23" s="2"/>
    </row>
    <row r="24" spans="1:38" ht="15.75">
      <c r="A24" s="20">
        <f t="shared" si="3"/>
        <v>3</v>
      </c>
      <c r="B24" s="22"/>
      <c r="C24" s="22"/>
      <c r="D24" s="22"/>
      <c r="E24" s="23">
        <f>1/(1+$D$9)/(1+$D$6)*D23</f>
        <v>20.878303371944959</v>
      </c>
      <c r="F24" s="23">
        <f>1/(1+$D$9)/(1+$D$6)*E23</f>
        <v>22.231526738645091</v>
      </c>
      <c r="G24" s="23">
        <f>1/(1+$D$9)/(1+$D$6)*F23</f>
        <v>23.672459027260977</v>
      </c>
      <c r="H24" s="23">
        <f>1/(1+$D$9)/(1+$D$6)*G23</f>
        <v>25.206785075324184</v>
      </c>
      <c r="I24" s="23">
        <f>1/(1+$D$9)/(1+$D$6)*H23</f>
        <v>26.840558182058153</v>
      </c>
      <c r="J24" s="2"/>
      <c r="K24" s="2"/>
      <c r="L24" s="2"/>
      <c r="M24" s="2"/>
      <c r="N24" s="2"/>
      <c r="O24" s="2"/>
      <c r="P24" s="28"/>
      <c r="Q24" s="2"/>
      <c r="R24" s="2"/>
    </row>
    <row r="25" spans="1:38" ht="15.75">
      <c r="A25" s="20">
        <f t="shared" si="3"/>
        <v>4</v>
      </c>
      <c r="B25" s="22"/>
      <c r="C25" s="22"/>
      <c r="D25" s="22"/>
      <c r="E25" s="22"/>
      <c r="F25" s="23">
        <f>1/(1+$D$9)/(1+$D$6)*E24</f>
        <v>16.810228157765668</v>
      </c>
      <c r="G25" s="23">
        <f>1/(1+$D$9)/(1+$D$6)*F24</f>
        <v>17.899779982806031</v>
      </c>
      <c r="H25" s="23">
        <f>1/(1+$D$9)/(1+$D$6)*G24</f>
        <v>19.059950907617534</v>
      </c>
      <c r="I25" s="23">
        <f>1/(1+$D$9)/(1+$D$6)*H24</f>
        <v>20.295318096074222</v>
      </c>
      <c r="J25" s="2"/>
      <c r="K25" s="2"/>
      <c r="L25" s="2"/>
      <c r="M25" s="2"/>
      <c r="N25" s="2"/>
      <c r="O25" s="2"/>
      <c r="P25" s="28"/>
      <c r="Q25" s="2"/>
      <c r="R25" s="2"/>
    </row>
    <row r="26" spans="1:38" ht="15.75">
      <c r="A26" s="20">
        <f t="shared" si="3"/>
        <v>5</v>
      </c>
      <c r="B26" s="22"/>
      <c r="C26" s="22"/>
      <c r="D26" s="22"/>
      <c r="E26" s="22"/>
      <c r="F26" s="22"/>
      <c r="G26" s="23">
        <f>1/(1+$D$9)/(1+$D$6)*F25</f>
        <v>13.534805280004564</v>
      </c>
      <c r="H26" s="23">
        <f>1/(1+$D$9)/(1+$D$6)*G25</f>
        <v>14.412061177782634</v>
      </c>
      <c r="I26" s="23">
        <f>1/(1+$D$9)/(1+$D$6)*H25</f>
        <v>15.346176254120397</v>
      </c>
      <c r="J26" s="2"/>
      <c r="K26" s="2"/>
      <c r="L26" s="2"/>
      <c r="M26" s="2"/>
      <c r="N26" s="2"/>
      <c r="O26" s="2"/>
      <c r="P26" s="28"/>
      <c r="Q26" s="2"/>
      <c r="R26" s="2"/>
    </row>
    <row r="27" spans="1:38" ht="15.75">
      <c r="A27" s="20">
        <f t="shared" si="3"/>
        <v>6</v>
      </c>
      <c r="B27" s="22"/>
      <c r="C27" s="22"/>
      <c r="D27" s="22"/>
      <c r="E27" s="22"/>
      <c r="F27" s="22"/>
      <c r="G27" s="22"/>
      <c r="H27" s="23">
        <f>1/(1+$D$9)/(1+$D$6)*G26</f>
        <v>10.897588792274206</v>
      </c>
      <c r="I27" s="23">
        <f>1/(1+$D$9)/(1+$D$6)*H26</f>
        <v>11.603913991773458</v>
      </c>
      <c r="J27" s="2"/>
      <c r="K27" s="2"/>
      <c r="L27" s="2"/>
      <c r="M27" s="2"/>
      <c r="N27" s="2"/>
      <c r="O27" s="2"/>
      <c r="P27" s="28"/>
      <c r="Q27" s="2"/>
      <c r="R27" s="2"/>
    </row>
    <row r="28" spans="1:38" ht="15.75">
      <c r="A28" s="20">
        <f t="shared" si="3"/>
        <v>7</v>
      </c>
      <c r="B28" s="22"/>
      <c r="C28" s="22"/>
      <c r="D28" s="22"/>
      <c r="E28" s="22"/>
      <c r="F28" s="22"/>
      <c r="G28" s="22"/>
      <c r="H28" s="22"/>
      <c r="I28" s="23">
        <f>1/(1+$D$9)/(1+$D$6)*H27</f>
        <v>8.7742260807360761</v>
      </c>
      <c r="J28" s="2"/>
      <c r="K28" s="2"/>
      <c r="L28" s="2"/>
      <c r="M28" s="2"/>
      <c r="N28" s="2"/>
      <c r="O28" s="2"/>
      <c r="P28" s="28"/>
      <c r="Q28" s="2"/>
      <c r="R28" s="2"/>
    </row>
    <row r="29" spans="1:38" ht="15.75">
      <c r="C29" s="22"/>
      <c r="D29" s="22"/>
      <c r="E29" s="22"/>
      <c r="F29" s="22"/>
      <c r="G29" s="22"/>
      <c r="H29" s="22"/>
      <c r="I29" s="22"/>
      <c r="N29" s="2"/>
      <c r="O29" s="2"/>
      <c r="P29" s="28"/>
      <c r="Q29" s="2"/>
      <c r="R29" s="2"/>
    </row>
    <row r="30" spans="1:38" ht="15.75">
      <c r="A30" s="26" t="s">
        <v>30</v>
      </c>
      <c r="B30" s="22">
        <v>0</v>
      </c>
      <c r="C30" s="22">
        <v>1</v>
      </c>
      <c r="D30" s="22">
        <v>2</v>
      </c>
      <c r="E30" s="22">
        <v>3</v>
      </c>
      <c r="F30" s="22">
        <v>4</v>
      </c>
      <c r="G30" s="22">
        <v>5</v>
      </c>
      <c r="H30" s="22">
        <v>6</v>
      </c>
      <c r="I30" s="22">
        <v>7</v>
      </c>
      <c r="O30" s="2"/>
      <c r="P30" s="28"/>
      <c r="Q30" s="2"/>
      <c r="R30" s="2"/>
    </row>
    <row r="31" spans="1:38" ht="15.75">
      <c r="A31" s="20" t="s">
        <v>10</v>
      </c>
      <c r="B31" s="21" t="s">
        <v>41</v>
      </c>
      <c r="O31" s="2"/>
      <c r="P31" s="28"/>
      <c r="Q31" s="2"/>
      <c r="R31" s="2"/>
    </row>
    <row r="32" spans="1:38" ht="15.75">
      <c r="A32" s="20">
        <v>0</v>
      </c>
      <c r="B32" s="23">
        <f>B15</f>
        <v>32</v>
      </c>
      <c r="C32" s="23">
        <f t="shared" ref="C32:I33" si="5">(1+$D$7)*B$32</f>
        <v>32.64</v>
      </c>
      <c r="D32" s="23">
        <f t="shared" si="5"/>
        <v>33.2928</v>
      </c>
      <c r="E32" s="23">
        <f t="shared" si="5"/>
        <v>33.958655999999998</v>
      </c>
      <c r="F32" s="23">
        <f t="shared" si="5"/>
        <v>34.637829119999999</v>
      </c>
      <c r="G32" s="23">
        <f t="shared" si="5"/>
        <v>35.330585702400001</v>
      </c>
      <c r="H32" s="23">
        <f t="shared" si="5"/>
        <v>36.037197416448002</v>
      </c>
      <c r="I32" s="23">
        <f t="shared" si="5"/>
        <v>36.757941364776961</v>
      </c>
      <c r="J32" s="2"/>
      <c r="K32" s="2"/>
      <c r="L32" s="2"/>
      <c r="M32" s="2"/>
      <c r="N32" s="2"/>
      <c r="O32" s="2"/>
      <c r="P32" s="28"/>
      <c r="Q32" s="2"/>
      <c r="R32" s="2"/>
    </row>
    <row r="33" spans="1:18" ht="15.75">
      <c r="A33" s="20">
        <f>1+A32</f>
        <v>1</v>
      </c>
      <c r="B33" s="22"/>
      <c r="C33" s="23">
        <f t="shared" si="5"/>
        <v>32.64</v>
      </c>
      <c r="D33" s="23">
        <f t="shared" si="5"/>
        <v>33.2928</v>
      </c>
      <c r="E33" s="23">
        <f t="shared" si="5"/>
        <v>33.958655999999998</v>
      </c>
      <c r="F33" s="23">
        <f t="shared" si="5"/>
        <v>34.637829119999999</v>
      </c>
      <c r="G33" s="23">
        <f t="shared" si="5"/>
        <v>35.330585702400001</v>
      </c>
      <c r="H33" s="23">
        <f t="shared" si="5"/>
        <v>36.037197416448002</v>
      </c>
      <c r="I33" s="23">
        <f t="shared" si="5"/>
        <v>36.757941364776961</v>
      </c>
      <c r="J33" s="2"/>
      <c r="K33" s="2"/>
      <c r="L33" s="2"/>
      <c r="M33" s="2"/>
      <c r="N33" s="2"/>
      <c r="O33" s="2"/>
      <c r="P33" s="28"/>
      <c r="Q33" s="2"/>
      <c r="R33" s="2"/>
    </row>
    <row r="34" spans="1:18" ht="15.75">
      <c r="A34" s="20">
        <f t="shared" ref="A34:A39" si="6">1+A33</f>
        <v>2</v>
      </c>
      <c r="B34" s="22"/>
      <c r="C34" s="22"/>
      <c r="D34" s="23">
        <f t="shared" ref="D34:I34" si="7">(1+$D$7)*C$32</f>
        <v>33.2928</v>
      </c>
      <c r="E34" s="23">
        <f t="shared" si="7"/>
        <v>33.958655999999998</v>
      </c>
      <c r="F34" s="23">
        <f t="shared" si="7"/>
        <v>34.637829119999999</v>
      </c>
      <c r="G34" s="23">
        <f t="shared" si="7"/>
        <v>35.330585702400001</v>
      </c>
      <c r="H34" s="23">
        <f t="shared" si="7"/>
        <v>36.037197416448002</v>
      </c>
      <c r="I34" s="23">
        <f t="shared" si="7"/>
        <v>36.757941364776961</v>
      </c>
      <c r="J34" s="2"/>
      <c r="K34" s="2"/>
      <c r="L34" s="2"/>
      <c r="M34" s="2"/>
      <c r="N34" s="2"/>
      <c r="O34" s="2"/>
      <c r="P34" s="28"/>
      <c r="Q34" s="2"/>
      <c r="R34" s="2"/>
    </row>
    <row r="35" spans="1:18" ht="15.75">
      <c r="A35" s="20">
        <f t="shared" si="6"/>
        <v>3</v>
      </c>
      <c r="B35" s="22"/>
      <c r="C35" s="22"/>
      <c r="D35" s="22"/>
      <c r="E35" s="23">
        <f>(1+$D$7)*D$32</f>
        <v>33.958655999999998</v>
      </c>
      <c r="F35" s="23">
        <f>(1+$D$7)*E$32</f>
        <v>34.637829119999999</v>
      </c>
      <c r="G35" s="23">
        <f>(1+$D$7)*F$32</f>
        <v>35.330585702400001</v>
      </c>
      <c r="H35" s="23">
        <f>(1+$D$7)*G$32</f>
        <v>36.037197416448002</v>
      </c>
      <c r="I35" s="23">
        <f>(1+$D$7)*H$32</f>
        <v>36.757941364776961</v>
      </c>
      <c r="J35" s="2"/>
      <c r="K35" s="2"/>
      <c r="L35" s="2"/>
      <c r="M35" s="2"/>
      <c r="N35" s="2"/>
      <c r="O35" s="2"/>
      <c r="P35" s="28"/>
      <c r="Q35" s="2"/>
      <c r="R35" s="2"/>
    </row>
    <row r="36" spans="1:18" ht="15.75">
      <c r="A36" s="20">
        <f t="shared" si="6"/>
        <v>4</v>
      </c>
      <c r="B36" s="22"/>
      <c r="C36" s="22"/>
      <c r="D36" s="22"/>
      <c r="E36" s="22"/>
      <c r="F36" s="23">
        <f>(1+$D$7)*E$32</f>
        <v>34.637829119999999</v>
      </c>
      <c r="G36" s="23">
        <f>(1+$D$7)*F$32</f>
        <v>35.330585702400001</v>
      </c>
      <c r="H36" s="23">
        <f>(1+$D$7)*G$32</f>
        <v>36.037197416448002</v>
      </c>
      <c r="I36" s="23">
        <f>(1+$D$7)*H$32</f>
        <v>36.757941364776961</v>
      </c>
      <c r="J36" s="2"/>
      <c r="K36" s="2"/>
      <c r="L36" s="2"/>
      <c r="M36" s="2"/>
      <c r="N36" s="2"/>
      <c r="O36" s="2"/>
      <c r="P36" s="28"/>
      <c r="Q36" s="2"/>
      <c r="R36" s="2"/>
    </row>
    <row r="37" spans="1:18" ht="15.75">
      <c r="A37" s="20">
        <f t="shared" si="6"/>
        <v>5</v>
      </c>
      <c r="B37" s="22"/>
      <c r="C37" s="22"/>
      <c r="D37" s="22"/>
      <c r="E37" s="22"/>
      <c r="F37" s="22"/>
      <c r="G37" s="23">
        <f>(1+$D$7)*F$32</f>
        <v>35.330585702400001</v>
      </c>
      <c r="H37" s="23">
        <f>(1+$D$7)*G$32</f>
        <v>36.037197416448002</v>
      </c>
      <c r="I37" s="23">
        <f>(1+$D$7)*H$32</f>
        <v>36.757941364776961</v>
      </c>
      <c r="J37" s="2"/>
      <c r="K37" s="2"/>
      <c r="L37" s="2"/>
      <c r="M37" s="2"/>
      <c r="N37" s="2"/>
      <c r="O37" s="2"/>
      <c r="P37" s="28"/>
      <c r="Q37" s="2"/>
      <c r="R37" s="2"/>
    </row>
    <row r="38" spans="1:18" ht="15.75">
      <c r="A38" s="20">
        <f t="shared" si="6"/>
        <v>6</v>
      </c>
      <c r="B38" s="22"/>
      <c r="C38" s="22"/>
      <c r="D38" s="22"/>
      <c r="E38" s="22"/>
      <c r="F38" s="22"/>
      <c r="G38" s="22"/>
      <c r="H38" s="23">
        <f>(1+$D$7)*G$32</f>
        <v>36.037197416448002</v>
      </c>
      <c r="I38" s="23">
        <f>(1+$D$7)*H$32</f>
        <v>36.757941364776961</v>
      </c>
      <c r="J38" s="2"/>
      <c r="K38" s="2"/>
      <c r="L38" s="2"/>
      <c r="M38" s="2"/>
      <c r="N38" s="2"/>
      <c r="O38" s="2"/>
      <c r="P38" s="28"/>
      <c r="Q38" s="2"/>
      <c r="R38" s="2"/>
    </row>
    <row r="39" spans="1:18" ht="15.75">
      <c r="A39" s="20">
        <f t="shared" si="6"/>
        <v>7</v>
      </c>
      <c r="B39" s="22"/>
      <c r="C39" s="22"/>
      <c r="D39" s="22"/>
      <c r="E39" s="22"/>
      <c r="F39" s="22"/>
      <c r="G39" s="22"/>
      <c r="H39" s="22"/>
      <c r="I39" s="23">
        <f>(1+$D$7)*H$32</f>
        <v>36.757941364776961</v>
      </c>
      <c r="J39" s="2"/>
      <c r="K39" s="2"/>
      <c r="L39" s="2"/>
      <c r="M39" s="2"/>
      <c r="N39" s="2"/>
      <c r="O39" s="2"/>
      <c r="P39" s="28"/>
      <c r="Q39" s="2"/>
      <c r="R39" s="2"/>
    </row>
    <row r="40" spans="1:18" ht="15.75">
      <c r="B40" s="22"/>
      <c r="C40" s="22"/>
      <c r="D40" s="22"/>
      <c r="E40" s="22"/>
      <c r="F40" s="22"/>
      <c r="G40" s="22"/>
      <c r="H40" s="22"/>
      <c r="I40" s="22"/>
      <c r="J40" s="2"/>
      <c r="K40" s="2"/>
      <c r="L40" s="2"/>
      <c r="M40" s="2"/>
      <c r="N40" s="2"/>
      <c r="O40" s="2"/>
      <c r="P40" s="28"/>
      <c r="Q40" s="2"/>
      <c r="R40" s="2"/>
    </row>
    <row r="41" spans="1:18" ht="15.75">
      <c r="A41" s="26" t="s">
        <v>30</v>
      </c>
      <c r="B41" s="22">
        <v>0</v>
      </c>
      <c r="C41" s="22">
        <v>1</v>
      </c>
      <c r="D41" s="22">
        <v>2</v>
      </c>
      <c r="E41" s="22">
        <v>3</v>
      </c>
      <c r="F41" s="22">
        <v>4</v>
      </c>
      <c r="G41" s="22">
        <v>5</v>
      </c>
      <c r="H41" s="22">
        <v>6</v>
      </c>
      <c r="I41" s="22"/>
      <c r="O41" s="2"/>
      <c r="P41" s="28"/>
      <c r="Q41" s="2"/>
      <c r="R41" s="2"/>
    </row>
    <row r="42" spans="1:18" ht="15.75">
      <c r="A42" s="20" t="s">
        <v>10</v>
      </c>
      <c r="B42" s="21" t="s">
        <v>78</v>
      </c>
      <c r="O42" s="2"/>
      <c r="P42" s="28"/>
      <c r="Q42" s="2"/>
      <c r="R42" s="2"/>
    </row>
    <row r="43" spans="1:18" s="2" customFormat="1" ht="15.75">
      <c r="A43" s="20">
        <v>0</v>
      </c>
      <c r="B43" s="23">
        <f t="shared" ref="B43:H43" si="8">B32*(1+$D$7)/(1+$D$4)*$D$3/($D$3-1)</f>
        <v>36.958123325590378</v>
      </c>
      <c r="C43" s="23">
        <f t="shared" si="8"/>
        <v>37.697285792102193</v>
      </c>
      <c r="D43" s="23">
        <f t="shared" si="8"/>
        <v>38.451231507944229</v>
      </c>
      <c r="E43" s="23">
        <f t="shared" si="8"/>
        <v>39.22025613810311</v>
      </c>
      <c r="F43" s="23">
        <f t="shared" si="8"/>
        <v>40.004661260865177</v>
      </c>
      <c r="G43" s="23">
        <f t="shared" si="8"/>
        <v>40.804754486082487</v>
      </c>
      <c r="H43" s="23">
        <f t="shared" si="8"/>
        <v>41.620849575804137</v>
      </c>
      <c r="I43" s="23"/>
      <c r="P43" s="28"/>
    </row>
    <row r="44" spans="1:18" s="2" customFormat="1" ht="15.75">
      <c r="A44" s="20">
        <f>1+A43</f>
        <v>1</v>
      </c>
      <c r="B44" s="23"/>
      <c r="C44" s="23">
        <f t="shared" ref="C44:H44" si="9">C33*(1+$D$7)/(1+$D$4)*$D$3/($D$3-1)</f>
        <v>37.697285792102193</v>
      </c>
      <c r="D44" s="23">
        <f t="shared" si="9"/>
        <v>38.451231507944229</v>
      </c>
      <c r="E44" s="23">
        <f t="shared" si="9"/>
        <v>39.22025613810311</v>
      </c>
      <c r="F44" s="23">
        <f t="shared" si="9"/>
        <v>40.004661260865177</v>
      </c>
      <c r="G44" s="23">
        <f t="shared" si="9"/>
        <v>40.804754486082487</v>
      </c>
      <c r="H44" s="23">
        <f t="shared" si="9"/>
        <v>41.620849575804137</v>
      </c>
      <c r="I44" s="23"/>
      <c r="P44" s="28"/>
    </row>
    <row r="45" spans="1:18" s="2" customFormat="1" ht="15.75">
      <c r="A45" s="20">
        <f t="shared" ref="A45:A50" si="10">1+A44</f>
        <v>2</v>
      </c>
      <c r="B45" s="23"/>
      <c r="C45" s="23"/>
      <c r="D45" s="23">
        <f>D34*(1+$D$7)/(1+$D$4)*$D$3/($D$3-1)</f>
        <v>38.451231507944229</v>
      </c>
      <c r="E45" s="23">
        <f>E34*(1+$D$7)/(1+$D$4)*$D$3/($D$3-1)</f>
        <v>39.22025613810311</v>
      </c>
      <c r="F45" s="23">
        <f>F34*(1+$D$7)/(1+$D$4)*$D$3/($D$3-1)</f>
        <v>40.004661260865177</v>
      </c>
      <c r="G45" s="23">
        <f>G34*(1+$D$7)/(1+$D$4)*$D$3/($D$3-1)</f>
        <v>40.804754486082487</v>
      </c>
      <c r="H45" s="23">
        <f>H34*(1+$D$7)/(1+$D$4)*$D$3/($D$3-1)</f>
        <v>41.620849575804137</v>
      </c>
      <c r="I45" s="23"/>
      <c r="P45" s="28"/>
    </row>
    <row r="46" spans="1:18" s="2" customFormat="1" ht="15.75">
      <c r="A46" s="20">
        <f t="shared" si="10"/>
        <v>3</v>
      </c>
      <c r="B46" s="23"/>
      <c r="C46" s="23"/>
      <c r="D46" s="23"/>
      <c r="E46" s="23">
        <f>E35*(1+$D$7)/(1+$D$4)*$D$3/($D$3-1)</f>
        <v>39.22025613810311</v>
      </c>
      <c r="F46" s="23">
        <f>F35*(1+$D$7)/(1+$D$4)*$D$3/($D$3-1)</f>
        <v>40.004661260865177</v>
      </c>
      <c r="G46" s="23">
        <f>G35*(1+$D$7)/(1+$D$4)*$D$3/($D$3-1)</f>
        <v>40.804754486082487</v>
      </c>
      <c r="H46" s="23">
        <f>H35*(1+$D$7)/(1+$D$4)*$D$3/($D$3-1)</f>
        <v>41.620849575804137</v>
      </c>
      <c r="I46" s="23"/>
      <c r="P46" s="29"/>
      <c r="Q46" s="29"/>
    </row>
    <row r="47" spans="1:18" s="2" customFormat="1" ht="15.75">
      <c r="A47" s="20">
        <f t="shared" si="10"/>
        <v>4</v>
      </c>
      <c r="B47" s="23"/>
      <c r="C47" s="23"/>
      <c r="D47" s="23"/>
      <c r="E47" s="23"/>
      <c r="F47" s="23">
        <f>F36*(1+$D$7)/(1+$D$4)*$D$3/($D$3-1)</f>
        <v>40.004661260865177</v>
      </c>
      <c r="G47" s="23">
        <f>G36*(1+$D$7)/(1+$D$4)*$D$3/($D$3-1)</f>
        <v>40.804754486082487</v>
      </c>
      <c r="H47" s="23">
        <f>H36*(1+$D$7)/(1+$D$4)*$D$3/($D$3-1)</f>
        <v>41.620849575804137</v>
      </c>
      <c r="I47" s="23"/>
    </row>
    <row r="48" spans="1:18" s="2" customFormat="1" ht="15.75">
      <c r="A48" s="20">
        <f t="shared" si="10"/>
        <v>5</v>
      </c>
      <c r="B48" s="23"/>
      <c r="C48" s="23"/>
      <c r="D48" s="23"/>
      <c r="E48" s="23"/>
      <c r="F48" s="23"/>
      <c r="G48" s="23">
        <f>G37*(1+$D$7)/(1+$D$4)*$D$3/($D$3-1)</f>
        <v>40.804754486082487</v>
      </c>
      <c r="H48" s="23">
        <f>H37*(1+$D$7)/(1+$D$4)*$D$3/($D$3-1)</f>
        <v>41.620849575804137</v>
      </c>
      <c r="I48" s="23"/>
    </row>
    <row r="49" spans="1:16" s="2" customFormat="1" ht="15.75">
      <c r="A49" s="20">
        <f t="shared" si="10"/>
        <v>6</v>
      </c>
      <c r="B49" s="23"/>
      <c r="C49" s="23"/>
      <c r="D49" s="23"/>
      <c r="E49" s="23"/>
      <c r="F49" s="23"/>
      <c r="G49" s="23"/>
      <c r="H49" s="23">
        <f>H38*(1+$D$7)/(1+$D$4)*$D$3/($D$3-1)</f>
        <v>41.620849575804137</v>
      </c>
      <c r="I49" s="23"/>
    </row>
    <row r="50" spans="1:16" s="2" customFormat="1" ht="15.75">
      <c r="A50" s="20">
        <f t="shared" si="10"/>
        <v>7</v>
      </c>
      <c r="B50" s="23"/>
      <c r="C50" s="23"/>
      <c r="D50" s="23"/>
      <c r="E50" s="23"/>
      <c r="F50" s="23"/>
      <c r="G50" s="23"/>
      <c r="H50" s="23"/>
      <c r="I50" s="23"/>
    </row>
    <row r="51" spans="1:16" s="2" customFormat="1"/>
    <row r="52" spans="1:16" s="2" customFormat="1" ht="15.75">
      <c r="A52" s="26" t="s">
        <v>30</v>
      </c>
      <c r="B52" s="22">
        <v>0</v>
      </c>
      <c r="C52" s="22">
        <v>1</v>
      </c>
      <c r="D52" s="22">
        <v>2</v>
      </c>
      <c r="E52" s="22">
        <v>3</v>
      </c>
      <c r="F52" s="22">
        <v>4</v>
      </c>
      <c r="G52" s="22">
        <v>5</v>
      </c>
      <c r="H52" s="22">
        <v>6</v>
      </c>
      <c r="I52" s="22"/>
    </row>
    <row r="53" spans="1:16" s="2" customFormat="1" ht="15.75">
      <c r="A53" s="20" t="s">
        <v>10</v>
      </c>
      <c r="B53" s="21" t="s">
        <v>42</v>
      </c>
      <c r="C53"/>
      <c r="D53"/>
      <c r="E53"/>
      <c r="F53"/>
      <c r="G53"/>
      <c r="H53"/>
      <c r="I53"/>
    </row>
    <row r="54" spans="1:16" ht="15.75">
      <c r="A54" s="20">
        <v>0</v>
      </c>
      <c r="B54" s="23">
        <f t="shared" ref="B54:H54" si="11">IF(B43&gt;B21/(1+$D$6),(B43-B32*(1+$D$7)/(1+$D$4))*((B21/(1+$D$6))/B43)^$D$3,B21/(1+$D$6)-B32*(1+$D$7)/(1+$D$4))</f>
        <v>5.6524216524216548</v>
      </c>
      <c r="C54" s="23">
        <f t="shared" si="11"/>
        <v>7.4252780415743302</v>
      </c>
      <c r="D54" s="23">
        <f t="shared" si="11"/>
        <v>9.3411717038131172</v>
      </c>
      <c r="E54" s="23">
        <f t="shared" si="11"/>
        <v>11.409936171795302</v>
      </c>
      <c r="F54" s="23">
        <f t="shared" si="11"/>
        <v>13.642053588742144</v>
      </c>
      <c r="G54" s="23">
        <f t="shared" si="11"/>
        <v>16.048696973051769</v>
      </c>
      <c r="H54" s="23">
        <f t="shared" si="11"/>
        <v>18.641775226785967</v>
      </c>
      <c r="I54" s="23"/>
      <c r="J54" s="23"/>
      <c r="K54" s="23"/>
      <c r="L54" s="23"/>
      <c r="M54" s="23"/>
      <c r="N54" s="23"/>
      <c r="O54" s="2"/>
    </row>
    <row r="55" spans="1:16" ht="15.75">
      <c r="A55" s="20">
        <f>1+A54</f>
        <v>1</v>
      </c>
      <c r="B55" s="22"/>
      <c r="C55" s="23">
        <f t="shared" ref="C55:H55" si="12">IF(C44&gt;C22/(1+$D$6),(C44-C33*(1+$D$7)/(1+$D$4))*((C22/(1+$D$6))/C44)^$D$3,C22/(1+$D$6)-C33*(1+$D$7)/(1+$D$4))</f>
        <v>1.2014887527660023</v>
      </c>
      <c r="D55" s="23">
        <f t="shared" si="12"/>
        <v>1.6298485224785504</v>
      </c>
      <c r="E55" s="23">
        <f t="shared" si="12"/>
        <v>2.210928899758799</v>
      </c>
      <c r="F55" s="23">
        <f t="shared" si="12"/>
        <v>2.9991784711103335</v>
      </c>
      <c r="G55" s="23">
        <f t="shared" si="12"/>
        <v>4.0684580596657955</v>
      </c>
      <c r="H55" s="23">
        <f t="shared" si="12"/>
        <v>5.5189616565671367</v>
      </c>
      <c r="I55" s="23"/>
      <c r="J55" s="23"/>
      <c r="K55" s="23"/>
      <c r="L55" s="23"/>
      <c r="M55" s="23"/>
      <c r="N55" s="23"/>
      <c r="O55" s="2"/>
    </row>
    <row r="56" spans="1:16" ht="15.75">
      <c r="A56" s="20">
        <f t="shared" ref="A56:A61" si="13">1+A55</f>
        <v>2</v>
      </c>
      <c r="B56" s="22"/>
      <c r="C56" s="22"/>
      <c r="D56" s="23">
        <f>IF(D45&gt;D23/(1+$D$6),(D45-D34*(1+$D$7)/(1+$D$4))*((D23/(1+$D$6))/D45)^$D$3,D23/(1+$D$6)-D34*(1+$D$7)/(1+$D$4))</f>
        <v>0.25536907227015282</v>
      </c>
      <c r="E56" s="23">
        <f>IF(E45&gt;E23/(1+$D$6),(E45-E34*(1+$D$7)/(1+$D$4))*((E23/(1+$D$6))/E45)^$D$3,E23/(1+$D$6)-E34*(1+$D$7)/(1+$D$4))</f>
        <v>0.34641431654523863</v>
      </c>
      <c r="F56" s="23">
        <f>IF(F45&gt;F23/(1+$D$6),(F45-F34*(1+$D$7)/(1+$D$4))*((F23/(1+$D$6))/F45)^$D$3,F23/(1+$D$6)-F34*(1+$D$7)/(1+$D$4))</f>
        <v>0.46991939016230944</v>
      </c>
      <c r="G56" s="23">
        <f>IF(G45&gt;G23/(1+$D$6),(G45-G34*(1+$D$7)/(1+$D$4))*((G23/(1+$D$6))/G45)^$D$3,G23/(1+$D$6)-G34*(1+$D$7)/(1+$D$4))</f>
        <v>0.63745700654862736</v>
      </c>
      <c r="H56" s="23">
        <f>IF(H45&gt;H23/(1+$D$6),(H45-H34*(1+$D$7)/(1+$D$4))*((H23/(1+$D$6))/H45)^$D$3,H23/(1+$D$6)-H34*(1+$D$7)/(1+$D$4))</f>
        <v>0.86472583107835599</v>
      </c>
      <c r="I56" s="23"/>
      <c r="J56" s="23"/>
      <c r="K56" s="23"/>
      <c r="L56" s="23"/>
      <c r="M56" s="23"/>
      <c r="N56" s="23"/>
      <c r="O56" s="2"/>
    </row>
    <row r="57" spans="1:16" ht="15.75">
      <c r="A57" s="20">
        <f t="shared" si="13"/>
        <v>3</v>
      </c>
      <c r="B57" s="22"/>
      <c r="C57" s="22"/>
      <c r="D57" s="22"/>
      <c r="E57" s="23">
        <f>IF(E46&gt;E24/(1+$D$6),(E46-E35*(1+$D$7)/(1+$D$4))*((E24/(1+$D$6))/E46)^$D$3,E24/(1+$D$6)-E35*(1+$D$7)/(1+$D$4))</f>
        <v>5.4277131535345371E-2</v>
      </c>
      <c r="F57" s="23">
        <f>IF(F46&gt;F24/(1+$D$6),(F46-F35*(1+$D$7)/(1+$D$4))*((F24/(1+$D$6))/F46)^$D$3,F24/(1+$D$6)-F35*(1+$D$7)/(1+$D$4))</f>
        <v>7.3628240325679759E-2</v>
      </c>
      <c r="G57" s="23">
        <f>IF(G46&gt;G24/(1+$D$6),(G46-G35*(1+$D$7)/(1+$D$4))*((G24/(1+$D$6))/G46)^$D$3,G24/(1+$D$6)-G35*(1+$D$7)/(1+$D$4))</f>
        <v>9.9878486944834685E-2</v>
      </c>
      <c r="H57" s="23">
        <f>IF(H46&gt;H24/(1+$D$6),(H46-H35*(1+$D$7)/(1+$D$4))*((H24/(1+$D$6))/H46)^$D$3,H24/(1+$D$6)-H35*(1+$D$7)/(1+$D$4))</f>
        <v>0.13548758071989656</v>
      </c>
      <c r="I57" s="23"/>
      <c r="J57" s="23"/>
      <c r="K57" s="23"/>
      <c r="L57" s="23"/>
      <c r="M57" s="23"/>
      <c r="N57" s="23"/>
      <c r="O57" s="2"/>
    </row>
    <row r="58" spans="1:16" ht="15.75">
      <c r="A58" s="20">
        <f>1+A57</f>
        <v>4</v>
      </c>
      <c r="B58" s="23"/>
      <c r="C58" s="22"/>
      <c r="D58" s="22"/>
      <c r="E58" s="22"/>
      <c r="F58" s="23">
        <f>IF(F47&gt;F25/(1+$D$6),(F47-F36*(1+$D$7)/(1+$D$4))*((F25/(1+$D$6))/F47)^$D$3,F25/(1+$D$6)-F36*(1+$D$7)/(1+$D$4))</f>
        <v>1.1536271724356003E-2</v>
      </c>
      <c r="G58" s="23">
        <f>IF(G47&gt;G25/(1+$D$6),(G47-G36*(1+$D$7)/(1+$D$4))*((G25/(1+$D$6))/G47)^$D$3,G25/(1+$D$6)-G36*(1+$D$7)/(1+$D$4))</f>
        <v>1.5649231323694748E-2</v>
      </c>
      <c r="H58" s="23">
        <f>IF(H47&gt;H25/(1+$D$6),(H47-H36*(1+$D$7)/(1+$D$4))*((H25/(1+$D$6))/H47)^$D$3,H25/(1+$D$6)-H36*(1+$D$7)/(1+$D$4))</f>
        <v>2.122856039403671E-2</v>
      </c>
      <c r="I58" s="23"/>
      <c r="J58" s="23"/>
      <c r="K58" s="23"/>
      <c r="L58" s="23"/>
      <c r="M58" s="23"/>
      <c r="N58" s="23"/>
      <c r="O58" s="2"/>
    </row>
    <row r="59" spans="1:16" ht="15.75">
      <c r="A59" s="20">
        <f t="shared" si="13"/>
        <v>5</v>
      </c>
      <c r="B59" s="22"/>
      <c r="C59" s="22"/>
      <c r="D59" s="22"/>
      <c r="E59" s="22"/>
      <c r="F59" s="22"/>
      <c r="G59" s="23">
        <f>IF(G48&gt;G26/(1+$D$6),(G48-G37*(1+$D$7)/(1+$D$4))*((G26/(1+$D$6))/G48)^$D$3,G26/(1+$D$6)-G37*(1+$D$7)/(1+$D$4))</f>
        <v>2.4519638664307472E-3</v>
      </c>
      <c r="H59" s="23">
        <f>IF(H48&gt;H26/(1+$D$6),(H48-H37*(1+$D$7)/(1+$D$4))*((H26/(1+$D$6))/H48)^$D$3,H26/(1+$D$6)-H37*(1+$D$7)/(1+$D$4))</f>
        <v>3.326148227083115E-3</v>
      </c>
      <c r="I59" s="23"/>
      <c r="J59" s="23"/>
      <c r="K59" s="23"/>
      <c r="L59" s="23"/>
      <c r="M59" s="23"/>
      <c r="N59" s="23"/>
      <c r="O59" s="2"/>
    </row>
    <row r="60" spans="1:16" ht="15.75">
      <c r="A60" s="20">
        <f t="shared" si="13"/>
        <v>6</v>
      </c>
      <c r="B60" s="22"/>
      <c r="C60" s="22"/>
      <c r="D60" s="22"/>
      <c r="E60" s="22"/>
      <c r="F60" s="22"/>
      <c r="G60" s="22"/>
      <c r="H60" s="23">
        <f>IF(H49&gt;H27/(1+$D$6),(H49-H38*(1+$D$7)/(1+$D$4))*((H27/(1+$D$6))/H49)^$D$3,H27/(1+$D$6)-H38*(1+$D$7)/(1+$D$4))</f>
        <v>5.2114989538508286E-4</v>
      </c>
      <c r="I60" s="23"/>
      <c r="J60" s="23"/>
      <c r="K60" s="23"/>
      <c r="L60" s="23"/>
      <c r="M60" s="23"/>
      <c r="N60" s="23"/>
      <c r="O60" s="2"/>
      <c r="P60" s="10"/>
    </row>
    <row r="61" spans="1:16" ht="15.75">
      <c r="A61" s="20">
        <f t="shared" si="13"/>
        <v>7</v>
      </c>
      <c r="B61" s="22"/>
      <c r="C61" s="22"/>
      <c r="D61" s="22"/>
      <c r="E61" s="22"/>
      <c r="F61" s="22"/>
      <c r="G61" s="22"/>
      <c r="H61" s="22"/>
      <c r="I61" s="23"/>
      <c r="J61" s="23"/>
      <c r="K61" s="23"/>
      <c r="L61" s="23"/>
      <c r="M61" s="23"/>
      <c r="N61" s="23"/>
      <c r="O61" s="2"/>
      <c r="P61" s="10"/>
    </row>
    <row r="62" spans="1:16" ht="15.75">
      <c r="J62" s="23"/>
      <c r="K62" s="23"/>
      <c r="L62" s="23"/>
      <c r="M62" s="23"/>
      <c r="N62" s="23"/>
      <c r="O62" s="2"/>
      <c r="P62" s="10"/>
    </row>
    <row r="63" spans="1:16" ht="15.75">
      <c r="A63" s="26" t="s">
        <v>30</v>
      </c>
      <c r="B63" s="22">
        <v>0</v>
      </c>
      <c r="C63" s="22">
        <v>1</v>
      </c>
      <c r="D63" s="22">
        <v>2</v>
      </c>
      <c r="E63" s="22">
        <v>3</v>
      </c>
      <c r="F63" s="22">
        <v>4</v>
      </c>
      <c r="G63" s="22">
        <v>5</v>
      </c>
      <c r="H63" s="22">
        <v>6</v>
      </c>
      <c r="I63" s="22"/>
      <c r="O63" s="2"/>
      <c r="P63" s="10"/>
    </row>
    <row r="64" spans="1:16" ht="15.75">
      <c r="A64" s="20" t="s">
        <v>10</v>
      </c>
      <c r="B64" s="21" t="s">
        <v>79</v>
      </c>
      <c r="O64" s="2"/>
      <c r="P64" s="10"/>
    </row>
    <row r="65" spans="1:17" ht="15.75">
      <c r="A65" s="20">
        <v>0</v>
      </c>
      <c r="B65" s="26" t="str">
        <f t="shared" ref="B65:H65" si="14">IF(B43&gt;=B21,"hold","exer")</f>
        <v>exer</v>
      </c>
      <c r="C65" s="26" t="str">
        <f t="shared" si="14"/>
        <v>exer</v>
      </c>
      <c r="D65" s="26" t="str">
        <f t="shared" si="14"/>
        <v>exer</v>
      </c>
      <c r="E65" s="26" t="str">
        <f t="shared" si="14"/>
        <v>exer</v>
      </c>
      <c r="F65" s="26" t="str">
        <f t="shared" si="14"/>
        <v>exer</v>
      </c>
      <c r="G65" s="26" t="str">
        <f t="shared" si="14"/>
        <v>exer</v>
      </c>
      <c r="H65" s="26" t="str">
        <f t="shared" si="14"/>
        <v>exer</v>
      </c>
      <c r="I65" s="26"/>
      <c r="O65" s="2"/>
      <c r="P65" s="10"/>
    </row>
    <row r="66" spans="1:17" ht="15.75">
      <c r="A66" s="20">
        <f>1+A65</f>
        <v>1</v>
      </c>
      <c r="B66" s="26"/>
      <c r="C66" s="26" t="str">
        <f t="shared" ref="C66:H66" si="15">IF(C44&gt;=C22,"hold","exer")</f>
        <v>hold</v>
      </c>
      <c r="D66" s="26" t="str">
        <f t="shared" si="15"/>
        <v>hold</v>
      </c>
      <c r="E66" s="26" t="str">
        <f t="shared" si="15"/>
        <v>hold</v>
      </c>
      <c r="F66" s="26" t="str">
        <f t="shared" si="15"/>
        <v>hold</v>
      </c>
      <c r="G66" s="26" t="str">
        <f t="shared" si="15"/>
        <v>exer</v>
      </c>
      <c r="H66" s="26" t="str">
        <f t="shared" si="15"/>
        <v>exer</v>
      </c>
      <c r="I66" s="26"/>
      <c r="O66" s="2"/>
      <c r="P66" s="10"/>
    </row>
    <row r="67" spans="1:17" ht="15.75">
      <c r="A67" s="20">
        <f t="shared" ref="A67:A72" si="16">1+A66</f>
        <v>2</v>
      </c>
      <c r="B67" s="26"/>
      <c r="C67" s="26"/>
      <c r="D67" s="26" t="str">
        <f>IF(D45&gt;=D23,"hold","exer")</f>
        <v>hold</v>
      </c>
      <c r="E67" s="26" t="str">
        <f>IF(E45&gt;=E23,"hold","exer")</f>
        <v>hold</v>
      </c>
      <c r="F67" s="26" t="str">
        <f>IF(F45&gt;=F23,"hold","exer")</f>
        <v>hold</v>
      </c>
      <c r="G67" s="26" t="str">
        <f>IF(G45&gt;=G23,"hold","exer")</f>
        <v>hold</v>
      </c>
      <c r="H67" s="26" t="str">
        <f>IF(H45&gt;=H23,"hold","exer")</f>
        <v>hold</v>
      </c>
      <c r="I67" s="26"/>
      <c r="O67" s="2"/>
      <c r="P67" s="10"/>
    </row>
    <row r="68" spans="1:17" ht="15.75">
      <c r="A68" s="20">
        <f t="shared" si="16"/>
        <v>3</v>
      </c>
      <c r="B68" s="26"/>
      <c r="C68" s="26"/>
      <c r="D68" s="26"/>
      <c r="E68" s="26" t="str">
        <f>IF(E46&gt;=E24,"hold","exer")</f>
        <v>hold</v>
      </c>
      <c r="F68" s="26" t="str">
        <f>IF(F46&gt;=F24,"hold","exer")</f>
        <v>hold</v>
      </c>
      <c r="G68" s="26" t="str">
        <f>IF(G46&gt;=G24,"hold","exer")</f>
        <v>hold</v>
      </c>
      <c r="H68" s="26" t="str">
        <f>IF(H46&gt;=H24,"hold","exer")</f>
        <v>hold</v>
      </c>
      <c r="I68" s="26"/>
      <c r="O68" s="2"/>
      <c r="P68" s="10"/>
    </row>
    <row r="69" spans="1:17" ht="15.75">
      <c r="A69" s="20">
        <f>1+A68</f>
        <v>4</v>
      </c>
      <c r="B69" s="26"/>
      <c r="C69" s="26"/>
      <c r="D69" s="26"/>
      <c r="E69" s="26"/>
      <c r="F69" s="26" t="str">
        <f>IF(F47&gt;=F25,"hold","exer")</f>
        <v>hold</v>
      </c>
      <c r="G69" s="26" t="str">
        <f>IF(G47&gt;=G25,"hold","exer")</f>
        <v>hold</v>
      </c>
      <c r="H69" s="26" t="str">
        <f>IF(H47&gt;=H25,"hold","exer")</f>
        <v>hold</v>
      </c>
      <c r="I69" s="26"/>
      <c r="O69" s="2"/>
      <c r="P69" s="10"/>
    </row>
    <row r="70" spans="1:17" ht="15.75">
      <c r="A70" s="20">
        <f t="shared" si="16"/>
        <v>5</v>
      </c>
      <c r="B70" s="26"/>
      <c r="C70" s="26"/>
      <c r="D70" s="26"/>
      <c r="E70" s="26"/>
      <c r="F70" s="26"/>
      <c r="G70" s="26" t="str">
        <f>IF(G48&gt;=G26,"hold","exer")</f>
        <v>hold</v>
      </c>
      <c r="H70" s="26" t="str">
        <f>IF(H48&gt;=H26,"hold","exer")</f>
        <v>hold</v>
      </c>
      <c r="I70" s="26"/>
      <c r="O70" s="2"/>
      <c r="P70" s="10"/>
    </row>
    <row r="71" spans="1:17" ht="15.75">
      <c r="A71" s="20">
        <f t="shared" si="16"/>
        <v>6</v>
      </c>
      <c r="B71" s="26"/>
      <c r="C71" s="26"/>
      <c r="D71" s="26"/>
      <c r="E71" s="26"/>
      <c r="F71" s="26"/>
      <c r="G71" s="26"/>
      <c r="H71" s="26" t="str">
        <f>IF(H49&gt;=H27,"hold","exer")</f>
        <v>hold</v>
      </c>
      <c r="I71" s="26"/>
      <c r="O71" s="2"/>
      <c r="P71" s="10"/>
    </row>
    <row r="72" spans="1:17" ht="15.75">
      <c r="A72" s="20">
        <f t="shared" si="16"/>
        <v>7</v>
      </c>
      <c r="B72" s="26"/>
      <c r="C72" s="26"/>
      <c r="D72" s="26"/>
      <c r="E72" s="26"/>
      <c r="F72" s="26"/>
      <c r="G72" s="26"/>
      <c r="H72" s="26"/>
      <c r="I72" s="26"/>
      <c r="O72" s="2"/>
      <c r="P72" s="10"/>
    </row>
    <row r="73" spans="1:17">
      <c r="O73" s="2"/>
      <c r="P73" s="10"/>
    </row>
    <row r="74" spans="1:17" ht="15.75">
      <c r="A74" s="26" t="s">
        <v>30</v>
      </c>
      <c r="B74" s="22">
        <v>0</v>
      </c>
      <c r="C74" s="22">
        <v>1</v>
      </c>
      <c r="D74" s="22">
        <v>2</v>
      </c>
      <c r="E74" s="22">
        <v>3</v>
      </c>
      <c r="F74" s="22">
        <v>4</v>
      </c>
      <c r="G74" s="22">
        <v>5</v>
      </c>
      <c r="H74" s="22">
        <v>6</v>
      </c>
      <c r="I74" s="22">
        <v>7</v>
      </c>
      <c r="O74" s="2"/>
      <c r="P74" s="10"/>
    </row>
    <row r="75" spans="1:17" ht="15.75">
      <c r="A75" s="63" t="s">
        <v>31</v>
      </c>
      <c r="B75" s="6"/>
      <c r="C75" s="64">
        <f t="shared" ref="C75:I75" si="17">$B$10*((1+$D$5)/(1+$D$6))^C74</f>
        <v>100.92592592592592</v>
      </c>
      <c r="D75" s="64">
        <f t="shared" si="17"/>
        <v>101.86042524005488</v>
      </c>
      <c r="E75" s="64">
        <f t="shared" si="17"/>
        <v>102.80357732561095</v>
      </c>
      <c r="F75" s="64">
        <f t="shared" si="17"/>
        <v>103.75546230084809</v>
      </c>
      <c r="G75" s="64">
        <f t="shared" si="17"/>
        <v>104.71616102585595</v>
      </c>
      <c r="H75" s="64">
        <f t="shared" si="17"/>
        <v>105.68575510942868</v>
      </c>
      <c r="I75" s="64">
        <f t="shared" si="17"/>
        <v>106.66432691599748</v>
      </c>
      <c r="P75" s="15"/>
      <c r="Q75" s="14"/>
    </row>
    <row r="76" spans="1:17" ht="15.75">
      <c r="A76" s="20" t="s">
        <v>10</v>
      </c>
      <c r="B76" s="21" t="s">
        <v>50</v>
      </c>
      <c r="P76" s="15"/>
      <c r="Q76" s="14"/>
    </row>
    <row r="77" spans="1:17" ht="15.75">
      <c r="A77" s="20">
        <v>0</v>
      </c>
      <c r="B77" s="23">
        <f>B10</f>
        <v>100</v>
      </c>
      <c r="C77" s="23">
        <f t="shared" ref="C77:I77" si="18">(1+$D$9)/(1+$D$6)*B77</f>
        <v>106.48148148148147</v>
      </c>
      <c r="D77" s="23">
        <f t="shared" si="18"/>
        <v>113.3830589849108</v>
      </c>
      <c r="E77" s="23">
        <f t="shared" si="18"/>
        <v>120.73196095615501</v>
      </c>
      <c r="F77" s="23">
        <f t="shared" si="18"/>
        <v>128.55718064775763</v>
      </c>
      <c r="G77" s="23">
        <f t="shared" si="18"/>
        <v>136.88959050455671</v>
      </c>
      <c r="H77" s="23">
        <f t="shared" si="18"/>
        <v>145.76206396318537</v>
      </c>
      <c r="I77" s="23">
        <f t="shared" si="18"/>
        <v>155.2096051459844</v>
      </c>
      <c r="J77" s="28"/>
      <c r="K77" s="28"/>
      <c r="L77" s="28"/>
      <c r="M77" s="28"/>
      <c r="N77" s="28"/>
      <c r="O77" s="28"/>
      <c r="P77" s="14"/>
      <c r="Q77" s="14"/>
    </row>
    <row r="78" spans="1:17" ht="15.75">
      <c r="A78" s="20">
        <f>1+A77</f>
        <v>1</v>
      </c>
      <c r="B78" s="23"/>
      <c r="C78" s="23">
        <f t="shared" ref="C78:I78" si="19">1/(1+$D$9)/(1+$D$6)*B77</f>
        <v>80.515297906602257</v>
      </c>
      <c r="D78" s="23">
        <f t="shared" si="19"/>
        <v>85.733882030178322</v>
      </c>
      <c r="E78" s="23">
        <f t="shared" si="19"/>
        <v>91.290707717319492</v>
      </c>
      <c r="F78" s="23">
        <f t="shared" si="19"/>
        <v>97.207698032330924</v>
      </c>
      <c r="G78" s="23">
        <f t="shared" si="19"/>
        <v>103.50819697887088</v>
      </c>
      <c r="H78" s="23">
        <f t="shared" si="19"/>
        <v>110.21706159787175</v>
      </c>
      <c r="I78" s="23">
        <f t="shared" si="19"/>
        <v>117.36076003477083</v>
      </c>
      <c r="J78" s="28"/>
      <c r="K78" s="28"/>
      <c r="L78" s="28"/>
      <c r="M78" s="28"/>
      <c r="N78" s="28"/>
      <c r="O78" s="28"/>
      <c r="P78" s="10"/>
    </row>
    <row r="79" spans="1:17" ht="15.75">
      <c r="A79" s="20">
        <f t="shared" ref="A79:A84" si="20">1+A78</f>
        <v>2</v>
      </c>
      <c r="B79" s="23"/>
      <c r="C79" s="23"/>
      <c r="D79" s="23">
        <f t="shared" ref="D79:I79" si="21">1/(1+$D$9)/(1+$D$6)*C78</f>
        <v>64.827131969889095</v>
      </c>
      <c r="E79" s="23">
        <f t="shared" si="21"/>
        <v>69.028890523493018</v>
      </c>
      <c r="F79" s="23">
        <f t="shared" si="21"/>
        <v>73.50298527964533</v>
      </c>
      <c r="G79" s="23">
        <f t="shared" si="21"/>
        <v>78.267067658881587</v>
      </c>
      <c r="H79" s="23">
        <f t="shared" si="21"/>
        <v>83.339933155290566</v>
      </c>
      <c r="I79" s="23">
        <f t="shared" si="21"/>
        <v>88.741595489429756</v>
      </c>
      <c r="J79" s="28"/>
      <c r="K79" s="28"/>
      <c r="L79" s="28"/>
      <c r="M79" s="28"/>
      <c r="N79" s="28"/>
      <c r="O79" s="28"/>
      <c r="P79" s="10"/>
    </row>
    <row r="80" spans="1:17" ht="15.75">
      <c r="A80" s="20">
        <f t="shared" si="20"/>
        <v>3</v>
      </c>
      <c r="B80" s="23"/>
      <c r="C80" s="23"/>
      <c r="D80" s="23"/>
      <c r="E80" s="23">
        <f>1/(1+$D$9)/(1+$D$6)*D79</f>
        <v>52.195758429862394</v>
      </c>
      <c r="F80" s="23">
        <f>1/(1+$D$9)/(1+$D$6)*E79</f>
        <v>55.578816846612739</v>
      </c>
      <c r="G80" s="23">
        <f>1/(1+$D$9)/(1+$D$6)*F79</f>
        <v>59.18114756815244</v>
      </c>
      <c r="H80" s="23">
        <f>1/(1+$D$9)/(1+$D$6)*G79</f>
        <v>63.016962688310457</v>
      </c>
      <c r="I80" s="23">
        <f>1/(1+$D$9)/(1+$D$6)*H79</f>
        <v>67.101395455145379</v>
      </c>
      <c r="J80" s="28"/>
      <c r="K80" s="28"/>
      <c r="L80" s="28"/>
      <c r="M80" s="28"/>
      <c r="N80" s="28"/>
      <c r="O80" s="28"/>
      <c r="P80" s="10"/>
    </row>
    <row r="81" spans="1:16" ht="15.75">
      <c r="A81" s="20">
        <f>1+A80</f>
        <v>4</v>
      </c>
      <c r="B81" s="57"/>
      <c r="C81" s="57"/>
      <c r="D81" s="24"/>
      <c r="E81" s="24"/>
      <c r="F81" s="24">
        <f>1/(1+$D$9)/(1+$D$6)*E80</f>
        <v>42.025570394414167</v>
      </c>
      <c r="G81" s="24">
        <f>1/(1+$D$9)/(1+$D$6)*F80</f>
        <v>44.749449957015088</v>
      </c>
      <c r="H81" s="24">
        <f>1/(1+$D$9)/(1+$D$6)*G80</f>
        <v>47.649877269043834</v>
      </c>
      <c r="I81" s="24">
        <f>1/(1+$D$9)/(1+$D$6)*H80</f>
        <v>50.738295240185558</v>
      </c>
      <c r="J81" s="29"/>
      <c r="K81" s="29"/>
      <c r="L81" s="28"/>
      <c r="M81" s="28"/>
      <c r="N81" s="28"/>
      <c r="O81" s="28"/>
      <c r="P81" s="10"/>
    </row>
    <row r="82" spans="1:16" ht="15.75">
      <c r="A82" s="20">
        <f t="shared" si="20"/>
        <v>5</v>
      </c>
      <c r="B82" s="24"/>
      <c r="C82" s="24"/>
      <c r="D82" s="24"/>
      <c r="E82" s="24"/>
      <c r="F82" s="24"/>
      <c r="G82" s="24">
        <f>1/(1+$D$9)/(1+$D$6)*F81</f>
        <v>33.837013200011405</v>
      </c>
      <c r="H82" s="24">
        <f>1/(1+$D$9)/(1+$D$6)*G81</f>
        <v>36.030152944456596</v>
      </c>
      <c r="I82" s="24">
        <f>1/(1+$D$9)/(1+$D$6)*H81</f>
        <v>38.365440635300992</v>
      </c>
      <c r="J82" s="29"/>
      <c r="K82" s="29"/>
      <c r="L82" s="28"/>
      <c r="M82" s="28"/>
      <c r="N82" s="28"/>
      <c r="O82" s="28"/>
      <c r="P82" s="10"/>
    </row>
    <row r="83" spans="1:16" ht="15.75">
      <c r="A83" s="20">
        <f t="shared" si="20"/>
        <v>6</v>
      </c>
      <c r="B83" s="24"/>
      <c r="C83" s="25"/>
      <c r="D83" s="24"/>
      <c r="E83" s="24"/>
      <c r="F83" s="24"/>
      <c r="G83" s="24"/>
      <c r="H83" s="24">
        <f>1/(1+$D$9)/(1+$D$6)*G82</f>
        <v>27.243971980685512</v>
      </c>
      <c r="I83" s="24">
        <f>1/(1+$D$9)/(1+$D$6)*H82</f>
        <v>29.009784979433654</v>
      </c>
      <c r="J83" s="29"/>
      <c r="K83" s="29"/>
      <c r="L83" s="28"/>
      <c r="M83" s="28"/>
      <c r="N83" s="28"/>
      <c r="O83" s="28"/>
      <c r="P83" s="10"/>
    </row>
    <row r="84" spans="1:16" ht="15.75">
      <c r="A84" s="20">
        <f t="shared" si="20"/>
        <v>7</v>
      </c>
      <c r="B84" s="24"/>
      <c r="C84" s="24"/>
      <c r="D84" s="24"/>
      <c r="E84" s="24"/>
      <c r="F84" s="24"/>
      <c r="G84" s="24"/>
      <c r="H84" s="24"/>
      <c r="I84" s="24">
        <f>1/(1+$D$9)/(1+$D$6)*H83</f>
        <v>21.935565201840188</v>
      </c>
      <c r="J84" s="29"/>
      <c r="K84" s="29"/>
      <c r="L84" s="28"/>
      <c r="M84" s="28"/>
      <c r="N84" s="28"/>
      <c r="O84" s="28"/>
      <c r="P84" s="10"/>
    </row>
    <row r="85" spans="1:16">
      <c r="B85" s="17"/>
      <c r="C85" s="18"/>
      <c r="D85" s="17"/>
      <c r="E85" s="17"/>
      <c r="F85" s="17"/>
      <c r="G85" s="17"/>
      <c r="H85" s="17"/>
      <c r="I85" s="17"/>
      <c r="J85" s="29"/>
      <c r="K85" s="29"/>
      <c r="L85" s="28"/>
      <c r="M85" s="28"/>
      <c r="N85" s="28"/>
      <c r="O85" s="28"/>
      <c r="P85" s="10"/>
    </row>
    <row r="86" spans="1:16" ht="15.75">
      <c r="A86" s="26" t="s">
        <v>30</v>
      </c>
      <c r="B86" s="22">
        <v>0</v>
      </c>
      <c r="C86" s="22">
        <v>1</v>
      </c>
      <c r="D86" s="22">
        <v>2</v>
      </c>
      <c r="E86" s="22">
        <v>3</v>
      </c>
      <c r="F86" s="22">
        <v>4</v>
      </c>
      <c r="G86" s="22">
        <v>5</v>
      </c>
      <c r="H86" s="22">
        <v>6</v>
      </c>
      <c r="I86" s="22">
        <v>7</v>
      </c>
      <c r="J86" s="10"/>
      <c r="K86" s="10"/>
      <c r="L86" s="10"/>
      <c r="M86" s="10"/>
      <c r="N86" s="10"/>
      <c r="O86" s="28"/>
      <c r="P86" s="10"/>
    </row>
    <row r="87" spans="1:16" ht="15.75">
      <c r="A87" s="20" t="s">
        <v>10</v>
      </c>
      <c r="B87" s="21" t="s">
        <v>37</v>
      </c>
    </row>
    <row r="88" spans="1:16" ht="15.75">
      <c r="A88" s="20">
        <v>0</v>
      </c>
      <c r="B88" s="23">
        <f>B11</f>
        <v>80</v>
      </c>
      <c r="C88" s="23">
        <f t="shared" ref="C88:I89" si="22">(1+$D$7)*B$88</f>
        <v>81.599999999999994</v>
      </c>
      <c r="D88" s="23">
        <f t="shared" si="22"/>
        <v>83.231999999999999</v>
      </c>
      <c r="E88" s="23">
        <f t="shared" si="22"/>
        <v>84.896640000000005</v>
      </c>
      <c r="F88" s="23">
        <f t="shared" si="22"/>
        <v>86.594572800000009</v>
      </c>
      <c r="G88" s="23">
        <f t="shared" si="22"/>
        <v>88.326464256000008</v>
      </c>
      <c r="H88" s="23">
        <f t="shared" si="22"/>
        <v>90.092993541120009</v>
      </c>
      <c r="I88" s="23">
        <f t="shared" si="22"/>
        <v>91.894853411942407</v>
      </c>
      <c r="J88" s="2"/>
      <c r="K88" s="2"/>
      <c r="L88" s="2"/>
      <c r="M88" s="2"/>
      <c r="N88" s="2"/>
      <c r="O88" s="2"/>
    </row>
    <row r="89" spans="1:16" ht="15.75">
      <c r="A89" s="20">
        <f>1+A88</f>
        <v>1</v>
      </c>
      <c r="B89" s="23"/>
      <c r="C89" s="23">
        <f t="shared" si="22"/>
        <v>81.599999999999994</v>
      </c>
      <c r="D89" s="23">
        <f t="shared" si="22"/>
        <v>83.231999999999999</v>
      </c>
      <c r="E89" s="23">
        <f t="shared" si="22"/>
        <v>84.896640000000005</v>
      </c>
      <c r="F89" s="23">
        <f t="shared" si="22"/>
        <v>86.594572800000009</v>
      </c>
      <c r="G89" s="23">
        <f t="shared" si="22"/>
        <v>88.326464256000008</v>
      </c>
      <c r="H89" s="23">
        <f t="shared" si="22"/>
        <v>90.092993541120009</v>
      </c>
      <c r="I89" s="23">
        <f t="shared" si="22"/>
        <v>91.894853411942407</v>
      </c>
      <c r="J89" s="2"/>
      <c r="K89" s="2"/>
      <c r="L89" s="2"/>
      <c r="M89" s="2"/>
      <c r="N89" s="2"/>
      <c r="O89" s="2"/>
    </row>
    <row r="90" spans="1:16" ht="15.75">
      <c r="A90" s="20">
        <f t="shared" ref="A90:A95" si="23">1+A89</f>
        <v>2</v>
      </c>
      <c r="B90" s="23"/>
      <c r="C90" s="23"/>
      <c r="D90" s="23">
        <f t="shared" ref="D90:I90" si="24">(1+$D$7)*C$88</f>
        <v>83.231999999999999</v>
      </c>
      <c r="E90" s="23">
        <f t="shared" si="24"/>
        <v>84.896640000000005</v>
      </c>
      <c r="F90" s="23">
        <f t="shared" si="24"/>
        <v>86.594572800000009</v>
      </c>
      <c r="G90" s="23">
        <f t="shared" si="24"/>
        <v>88.326464256000008</v>
      </c>
      <c r="H90" s="23">
        <f t="shared" si="24"/>
        <v>90.092993541120009</v>
      </c>
      <c r="I90" s="23">
        <f t="shared" si="24"/>
        <v>91.894853411942407</v>
      </c>
      <c r="J90" s="2"/>
      <c r="K90" s="2"/>
      <c r="L90" s="2"/>
      <c r="M90" s="2"/>
      <c r="N90" s="2"/>
      <c r="O90" s="2"/>
    </row>
    <row r="91" spans="1:16" ht="15.75">
      <c r="A91" s="20">
        <f t="shared" si="23"/>
        <v>3</v>
      </c>
      <c r="B91" s="23"/>
      <c r="C91" s="23"/>
      <c r="D91" s="23"/>
      <c r="E91" s="23">
        <f>(1+$D$7)*D$88</f>
        <v>84.896640000000005</v>
      </c>
      <c r="F91" s="23">
        <f>(1+$D$7)*E$88</f>
        <v>86.594572800000009</v>
      </c>
      <c r="G91" s="23">
        <f>(1+$D$7)*F$88</f>
        <v>88.326464256000008</v>
      </c>
      <c r="H91" s="23">
        <f>(1+$D$7)*G$88</f>
        <v>90.092993541120009</v>
      </c>
      <c r="I91" s="23">
        <f>(1+$D$7)*H$88</f>
        <v>91.894853411942407</v>
      </c>
      <c r="J91" s="2"/>
      <c r="K91" s="2"/>
      <c r="L91" s="2"/>
      <c r="M91" s="2"/>
      <c r="N91" s="2"/>
      <c r="O91" s="2"/>
    </row>
    <row r="92" spans="1:16" ht="15.75">
      <c r="A92" s="20">
        <f>1+A91</f>
        <v>4</v>
      </c>
      <c r="B92" s="23"/>
      <c r="C92" s="23"/>
      <c r="D92" s="23"/>
      <c r="E92" s="23"/>
      <c r="F92" s="23">
        <f>(1+$D$7)*E$88</f>
        <v>86.594572800000009</v>
      </c>
      <c r="G92" s="23">
        <f>(1+$D$7)*F$88</f>
        <v>88.326464256000008</v>
      </c>
      <c r="H92" s="23">
        <f>(1+$D$7)*G$88</f>
        <v>90.092993541120009</v>
      </c>
      <c r="I92" s="23">
        <f>(1+$D$7)*H$88</f>
        <v>91.894853411942407</v>
      </c>
      <c r="J92" s="2"/>
      <c r="K92" s="2"/>
      <c r="L92" s="2"/>
      <c r="M92" s="2"/>
      <c r="N92" s="2"/>
      <c r="O92" s="2"/>
    </row>
    <row r="93" spans="1:16" ht="15.75">
      <c r="A93" s="20">
        <f t="shared" si="23"/>
        <v>5</v>
      </c>
      <c r="B93" s="23"/>
      <c r="C93" s="23"/>
      <c r="D93" s="23"/>
      <c r="E93" s="23"/>
      <c r="F93" s="23"/>
      <c r="G93" s="23">
        <f>(1+$D$7)*F$88</f>
        <v>88.326464256000008</v>
      </c>
      <c r="H93" s="23">
        <f>(1+$D$7)*G$88</f>
        <v>90.092993541120009</v>
      </c>
      <c r="I93" s="23">
        <f>(1+$D$7)*H$88</f>
        <v>91.894853411942407</v>
      </c>
      <c r="J93" s="2"/>
      <c r="K93" s="2"/>
      <c r="L93" s="2"/>
      <c r="M93" s="2"/>
      <c r="N93" s="2"/>
      <c r="O93" s="2"/>
    </row>
    <row r="94" spans="1:16" ht="15.75">
      <c r="A94" s="20">
        <f t="shared" si="23"/>
        <v>6</v>
      </c>
      <c r="B94" s="23"/>
      <c r="C94" s="23"/>
      <c r="D94" s="23"/>
      <c r="E94" s="23"/>
      <c r="F94" s="23"/>
      <c r="G94" s="23"/>
      <c r="H94" s="23">
        <f>(1+$D$7)*G$88</f>
        <v>90.092993541120009</v>
      </c>
      <c r="I94" s="23">
        <f>(1+$D$7)*H$88</f>
        <v>91.894853411942407</v>
      </c>
      <c r="J94" s="2"/>
      <c r="K94" s="2"/>
      <c r="L94" s="2"/>
      <c r="M94" s="2"/>
      <c r="N94" s="2"/>
      <c r="O94" s="2"/>
    </row>
    <row r="95" spans="1:16" ht="15.75">
      <c r="A95" s="20">
        <f t="shared" si="23"/>
        <v>7</v>
      </c>
      <c r="B95" s="23"/>
      <c r="C95" s="23"/>
      <c r="D95" s="23"/>
      <c r="E95" s="23"/>
      <c r="F95" s="23"/>
      <c r="G95" s="23"/>
      <c r="H95" s="23"/>
      <c r="I95" s="23">
        <f>(1+$D$7)*H$88</f>
        <v>91.894853411942407</v>
      </c>
      <c r="J95" s="2"/>
      <c r="K95" s="2"/>
      <c r="L95" s="2"/>
      <c r="M95" s="2"/>
      <c r="N95" s="2"/>
      <c r="O95" s="2"/>
    </row>
    <row r="96" spans="1:16" ht="15.75">
      <c r="B96" s="23"/>
      <c r="C96" s="23"/>
      <c r="D96" s="23"/>
      <c r="E96" s="23"/>
      <c r="F96" s="23"/>
      <c r="G96" s="23"/>
      <c r="H96" s="23"/>
      <c r="I96" s="23"/>
      <c r="J96" s="2"/>
      <c r="K96" s="2"/>
      <c r="L96" s="2"/>
      <c r="M96" s="2"/>
      <c r="N96" s="2"/>
      <c r="O96" s="2"/>
    </row>
    <row r="97" spans="1:18">
      <c r="C97" s="2"/>
      <c r="D97" s="2"/>
      <c r="E97" s="2"/>
      <c r="F97" s="2"/>
      <c r="G97" s="2"/>
      <c r="H97" s="2"/>
      <c r="I97" s="2"/>
      <c r="J97" s="2"/>
      <c r="K97" s="2"/>
      <c r="L97" s="2"/>
      <c r="M97" s="2"/>
      <c r="N97" s="2"/>
      <c r="O97" s="2"/>
    </row>
    <row r="98" spans="1:18" ht="15.75">
      <c r="B98" s="21" t="s">
        <v>32</v>
      </c>
      <c r="C98" s="22"/>
      <c r="D98" s="22"/>
      <c r="E98" s="22"/>
      <c r="F98" s="22"/>
      <c r="G98" s="22"/>
      <c r="H98" s="22"/>
      <c r="I98" s="22"/>
      <c r="J98" s="2"/>
      <c r="K98" s="2"/>
      <c r="L98" s="2"/>
      <c r="M98" s="2"/>
      <c r="N98" s="2"/>
      <c r="O98" s="2"/>
    </row>
    <row r="99" spans="1:18" ht="15.75">
      <c r="A99" s="22" t="s">
        <v>30</v>
      </c>
      <c r="B99" s="22">
        <v>0</v>
      </c>
      <c r="C99" s="22">
        <v>1</v>
      </c>
      <c r="D99" s="22">
        <v>2</v>
      </c>
      <c r="E99" s="22">
        <v>3</v>
      </c>
      <c r="F99" s="22">
        <v>4</v>
      </c>
      <c r="G99" s="22">
        <v>5</v>
      </c>
      <c r="H99" s="22"/>
      <c r="I99" s="61"/>
    </row>
    <row r="100" spans="1:18" ht="15.75">
      <c r="A100" s="20" t="s">
        <v>10</v>
      </c>
      <c r="G100" s="22" t="s">
        <v>33</v>
      </c>
      <c r="H100" s="59"/>
      <c r="I100" s="61"/>
      <c r="J100" s="10"/>
      <c r="K100" s="10"/>
      <c r="L100" s="10"/>
      <c r="M100" s="10"/>
      <c r="N100" s="10"/>
      <c r="O100" s="10"/>
      <c r="P100" s="16"/>
      <c r="Q100" s="3"/>
      <c r="R100" s="3"/>
    </row>
    <row r="101" spans="1:18" ht="15.75">
      <c r="A101" s="20">
        <v>0</v>
      </c>
      <c r="B101" s="23">
        <f>MAX(B77/(1+$D$6)^2-B88/(1+$D$10)^2,(1/(1+$D$4))*(($D$11*C101+(1-$D$11)*C102)-((C101-C102)/((1+$D$9)-1/(1+$D$9)))*($D$5-$D$4)))</f>
        <v>8.7812193082848182</v>
      </c>
      <c r="C101" s="23">
        <f t="shared" ref="C101:F102" si="25">MAX(C77/(1+$D$6)^2-C88/(1+$D$10)^2,(1/(1+$D$4))*(($D$11*D101+(1-$D$11)*D102)-((D101-D102)/((1+$D$9)-1/(1+$D$9)))*($D$5-$D$4)))</f>
        <v>12.798991740988114</v>
      </c>
      <c r="D101" s="23">
        <f t="shared" si="25"/>
        <v>17.146147736472912</v>
      </c>
      <c r="E101" s="23">
        <f t="shared" si="25"/>
        <v>21.845415677095716</v>
      </c>
      <c r="F101" s="23">
        <f t="shared" si="25"/>
        <v>26.921024670061087</v>
      </c>
      <c r="G101" s="23">
        <f t="shared" ref="G101:G106" si="26">MAX(G77/(1+$D$6)^2-G88/(1+$D$10)^2,0)</f>
        <v>32.398802368403949</v>
      </c>
      <c r="H101" s="60"/>
      <c r="I101" s="62"/>
      <c r="J101" s="28"/>
      <c r="K101" s="28"/>
      <c r="L101" s="28"/>
      <c r="M101" s="28"/>
      <c r="N101" s="28"/>
      <c r="O101" s="28"/>
      <c r="P101" s="28"/>
      <c r="Q101" s="2"/>
      <c r="R101" s="2"/>
    </row>
    <row r="102" spans="1:18" ht="15.75">
      <c r="A102" s="20">
        <f>1+A101</f>
        <v>1</v>
      </c>
      <c r="B102" s="23"/>
      <c r="C102" s="23">
        <f t="shared" si="25"/>
        <v>0.44078036347868438</v>
      </c>
      <c r="D102" s="23">
        <f t="shared" si="25"/>
        <v>0.75427415260587083</v>
      </c>
      <c r="E102" s="23">
        <f t="shared" si="25"/>
        <v>1.2907324019592292</v>
      </c>
      <c r="F102" s="23">
        <f t="shared" si="25"/>
        <v>2.2087328960057415</v>
      </c>
      <c r="G102" s="23">
        <f t="shared" si="26"/>
        <v>3.7796378230628846</v>
      </c>
      <c r="H102" s="60"/>
      <c r="I102" s="62"/>
      <c r="J102" s="28"/>
      <c r="K102" s="28"/>
      <c r="L102" s="28"/>
      <c r="M102" s="28"/>
      <c r="N102" s="28"/>
      <c r="O102" s="28"/>
      <c r="P102" s="28"/>
      <c r="Q102" s="2"/>
      <c r="R102" s="2"/>
    </row>
    <row r="103" spans="1:18" ht="15.75">
      <c r="A103" s="20">
        <f>1+A102</f>
        <v>2</v>
      </c>
      <c r="B103" s="23"/>
      <c r="C103" s="23"/>
      <c r="D103" s="23">
        <f>MAX(D79/(1+$D$6)^2-D90/(1+$D$10)^2,(1/(1+$D$4))*(($D$11*E103+(1-$D$11)*E104)-((E103-E104)/((1+$D$9)-1/(1+$D$9)))*($D$5-$D$4)))</f>
        <v>0</v>
      </c>
      <c r="E103" s="23">
        <f>MAX(E79/(1+$D$6)^2-E90/(1+$D$10)^2,(1/(1+$D$4))*(($D$11*F103+(1-$D$11)*F104)-((F103-F104)/((1+$D$9)-1/(1+$D$9)))*($D$5-$D$4)))</f>
        <v>0</v>
      </c>
      <c r="F103" s="23">
        <f>MAX(F79/(1+$D$6)^2-F90/(1+$D$10)^2,(1/(1+$D$4))*(($D$11*G103+(1-$D$11)*G104)-((G103-G104)/((1+$D$9)-1/(1+$D$9)))*($D$5-$D$4)))</f>
        <v>0</v>
      </c>
      <c r="G103" s="23">
        <f t="shared" si="26"/>
        <v>0</v>
      </c>
      <c r="H103" s="60"/>
      <c r="I103" s="62"/>
      <c r="J103" s="28"/>
      <c r="K103" s="28"/>
      <c r="L103" s="28"/>
      <c r="M103" s="28"/>
      <c r="N103" s="28"/>
      <c r="O103" s="28"/>
      <c r="P103" s="28"/>
      <c r="Q103" s="2"/>
      <c r="R103" s="2"/>
    </row>
    <row r="104" spans="1:18" ht="15.75">
      <c r="A104" s="20">
        <f>1+A103</f>
        <v>3</v>
      </c>
      <c r="B104" s="22"/>
      <c r="C104" s="23"/>
      <c r="D104" s="23"/>
      <c r="E104" s="23">
        <f>MAX(E80/(1+$D$6)^2-E91/(1+$D$10)^2,(1/(1+$D$4))*(($D$11*F104+(1-$D$11)*F105)-((F104-F105)/((1+$D$9)-1/(1+$D$9)))*($D$5-$D$4)))</f>
        <v>0</v>
      </c>
      <c r="F104" s="23">
        <f>MAX(F80/(1+$D$6)^2-F91/(1+$D$10)^2,(1/(1+$D$4))*(($D$11*G104+(1-$D$11)*G105)-((G104-G105)/((1+$D$9)-1/(1+$D$9)))*($D$5-$D$4)))</f>
        <v>0</v>
      </c>
      <c r="G104" s="23">
        <f t="shared" si="26"/>
        <v>0</v>
      </c>
      <c r="H104" s="60"/>
      <c r="I104" s="62"/>
      <c r="J104" s="28"/>
      <c r="K104" s="28"/>
      <c r="L104" s="28"/>
      <c r="M104" s="28"/>
      <c r="N104" s="28"/>
      <c r="O104" s="28"/>
      <c r="P104" s="28"/>
      <c r="Q104" s="2"/>
      <c r="R104" s="2"/>
    </row>
    <row r="105" spans="1:18" ht="15.75">
      <c r="A105" s="20">
        <f>1+A104</f>
        <v>4</v>
      </c>
      <c r="B105" s="23"/>
      <c r="C105" s="23"/>
      <c r="D105" s="23"/>
      <c r="E105" s="23"/>
      <c r="F105" s="23">
        <f>MAX(F81/(1+$D$6)^2-F92/(1+$D$10)^2,(1/(1+$D$4))*(($D$11*G105+(1-$D$11)*G106)-((G105-G106)/((1+$D$9)-1/(1+$D$9)))*($D$5-$D$4)))</f>
        <v>0</v>
      </c>
      <c r="G105" s="23">
        <f t="shared" si="26"/>
        <v>0</v>
      </c>
      <c r="H105" s="60"/>
      <c r="I105" s="62"/>
      <c r="J105" s="28"/>
      <c r="K105" s="28"/>
      <c r="L105" s="28"/>
      <c r="M105" s="28"/>
      <c r="N105" s="28"/>
      <c r="O105" s="28"/>
      <c r="P105" s="28"/>
      <c r="Q105" s="2"/>
      <c r="R105" s="2"/>
    </row>
    <row r="106" spans="1:18" ht="15.75">
      <c r="A106" s="20">
        <f>1+A105</f>
        <v>5</v>
      </c>
      <c r="B106" s="23"/>
      <c r="C106" s="23"/>
      <c r="D106" s="23"/>
      <c r="E106" s="23"/>
      <c r="F106" s="23"/>
      <c r="G106" s="23">
        <f t="shared" si="26"/>
        <v>0</v>
      </c>
      <c r="H106" s="60"/>
      <c r="I106" s="62"/>
      <c r="J106" s="28"/>
      <c r="K106" s="28"/>
      <c r="L106" s="28"/>
      <c r="M106" s="28"/>
      <c r="N106" s="28"/>
      <c r="O106" s="28"/>
      <c r="P106" s="28"/>
      <c r="Q106" s="2"/>
      <c r="R106" s="2"/>
    </row>
    <row r="107" spans="1:18" ht="15.75">
      <c r="A107" s="20"/>
      <c r="B107" s="31"/>
      <c r="C107" s="23"/>
      <c r="D107" s="23"/>
      <c r="E107" s="23"/>
      <c r="F107" s="23"/>
      <c r="G107" s="23"/>
      <c r="H107" s="60"/>
      <c r="I107" s="62"/>
      <c r="J107" s="28"/>
      <c r="K107" s="28"/>
      <c r="L107" s="28"/>
      <c r="M107" s="28"/>
      <c r="N107" s="28"/>
      <c r="O107" s="28"/>
      <c r="P107" s="28"/>
      <c r="Q107" s="2"/>
      <c r="R107" s="2"/>
    </row>
    <row r="108" spans="1:18" ht="15.75">
      <c r="A108" s="20"/>
      <c r="B108" s="2" t="s">
        <v>186</v>
      </c>
      <c r="C108" s="23"/>
      <c r="D108" s="23"/>
      <c r="E108" s="23"/>
      <c r="F108" s="23"/>
      <c r="G108" s="23"/>
      <c r="H108" s="62"/>
      <c r="I108" s="62"/>
      <c r="J108" s="28"/>
      <c r="K108" s="28"/>
      <c r="L108" s="28"/>
      <c r="M108" s="28"/>
      <c r="N108" s="28"/>
      <c r="O108" s="28"/>
      <c r="P108" s="28"/>
      <c r="Q108" s="2"/>
      <c r="R108" s="2"/>
    </row>
    <row r="109" spans="1:18">
      <c r="B109" s="2"/>
      <c r="C109" s="2"/>
      <c r="D109" s="2"/>
      <c r="E109" s="2"/>
      <c r="F109" s="2"/>
      <c r="G109" s="2"/>
      <c r="H109" s="2"/>
      <c r="I109" s="28"/>
      <c r="J109" s="28"/>
      <c r="K109" s="28"/>
      <c r="L109" s="28"/>
      <c r="M109" s="28"/>
      <c r="N109" s="28"/>
      <c r="O109" s="28"/>
      <c r="P109" s="28"/>
      <c r="Q109" s="2"/>
      <c r="R109" s="2"/>
    </row>
    <row r="110" spans="1:18">
      <c r="B110" s="2" t="s">
        <v>95</v>
      </c>
      <c r="C110" s="2"/>
      <c r="D110" s="2"/>
      <c r="E110" s="2"/>
      <c r="F110" s="2"/>
      <c r="G110" s="2"/>
      <c r="H110" s="2"/>
      <c r="I110" s="28"/>
      <c r="J110" s="28"/>
      <c r="K110" s="28"/>
      <c r="L110" s="28"/>
      <c r="M110" s="28"/>
      <c r="N110" s="28"/>
      <c r="O110" s="28"/>
      <c r="P110" s="28"/>
      <c r="Q110" s="2"/>
      <c r="R110" s="2"/>
    </row>
    <row r="111" spans="1:18" ht="15.75">
      <c r="A111" s="22"/>
      <c r="B111" s="22" t="s">
        <v>14</v>
      </c>
      <c r="C111" s="23"/>
      <c r="D111" s="23"/>
      <c r="E111" s="23"/>
      <c r="F111" s="23"/>
      <c r="G111" s="23"/>
      <c r="H111" s="2"/>
      <c r="I111" s="28"/>
      <c r="J111" s="28"/>
      <c r="K111" s="28"/>
      <c r="L111" s="28"/>
      <c r="M111" s="28"/>
      <c r="N111" s="28"/>
      <c r="O111" s="28"/>
      <c r="P111" s="28"/>
      <c r="Q111" s="2"/>
      <c r="R111" s="2"/>
    </row>
    <row r="112" spans="1:18" ht="15.75">
      <c r="A112" s="22" t="s">
        <v>30</v>
      </c>
      <c r="B112" s="22">
        <v>0</v>
      </c>
      <c r="C112" s="22">
        <v>1</v>
      </c>
      <c r="D112" s="22">
        <v>2</v>
      </c>
      <c r="E112" s="22">
        <v>3</v>
      </c>
      <c r="F112" s="22">
        <v>4</v>
      </c>
      <c r="G112" s="22"/>
    </row>
    <row r="113" spans="1:18" ht="15.75">
      <c r="A113" s="20" t="s">
        <v>10</v>
      </c>
      <c r="B113" s="22"/>
      <c r="C113" s="22"/>
      <c r="D113" s="22"/>
      <c r="E113" s="22"/>
      <c r="F113" s="22"/>
      <c r="G113" s="22"/>
    </row>
    <row r="114" spans="1:18" ht="15.75">
      <c r="A114" s="20">
        <v>0</v>
      </c>
      <c r="B114" s="23">
        <f>(1/(1+$D$4))*(($D$11*C101+(1-$D$11)*C102)-(C101-C102)/((1+$D$9)-(1/(1+$D$9)))*($D$5-$D$4))</f>
        <v>7.6456800751750915</v>
      </c>
      <c r="C114" s="23">
        <f>(1/(1+$D$4))*(($D$11*D101+(1-$D$11)*D102)-(D101-D102)/((1+$D$9)-(1/(1+$D$9)))*($D$5-$D$4))</f>
        <v>10.304295279228786</v>
      </c>
      <c r="D114" s="23">
        <f>(1/(1+$D$4))*(($D$11*E101+(1-$D$11)*E102)-(E101-E102)/((1+$D$9)-(1/(1+$D$9)))*($D$5-$D$4))</f>
        <v>13.252770189500907</v>
      </c>
      <c r="E114" s="23">
        <f>(1/(1+$D$4))*(($D$11*F101+(1-$D$11)*F102)-(F101-F102)/((1+$D$9)-(1/(1+$D$9)))*($D$5-$D$4))</f>
        <v>16.5650731862752</v>
      </c>
      <c r="F114" s="23">
        <f>(1/(1+$D$4))*(($D$11*G101+(1-$D$11)*G102)-(G101-G102)/((1+$D$9)-(1/(1+$D$9)))*($D$5-$D$4))</f>
        <v>20.358644749029907</v>
      </c>
      <c r="G114" s="23"/>
      <c r="H114" s="2"/>
      <c r="I114" s="2"/>
      <c r="J114" s="2"/>
      <c r="K114" s="2"/>
      <c r="L114" s="2"/>
      <c r="M114" s="2"/>
      <c r="N114" s="2"/>
      <c r="O114" s="2"/>
      <c r="P114" s="28"/>
      <c r="Q114" s="2"/>
      <c r="R114" s="2"/>
    </row>
    <row r="115" spans="1:18" ht="15.75">
      <c r="A115" s="20">
        <f>1+A114</f>
        <v>1</v>
      </c>
      <c r="B115" s="22"/>
      <c r="C115" s="23">
        <f>(1/(1+$D$4))*(($D$11*D102+(1-$D$11)*D103)-(D102-D103)/((1+$D$9)-(1/(1+$D$9)))*($D$5-$D$4))</f>
        <v>0.44078036347868438</v>
      </c>
      <c r="D115" s="23">
        <f>(1/(1+$D$4))*(($D$11*E102+(1-$D$11)*E103)-(E102-E103)/((1+$D$9)-(1/(1+$D$9)))*($D$5-$D$4))</f>
        <v>0.75427415260587083</v>
      </c>
      <c r="E115" s="23">
        <f>(1/(1+$D$4))*(($D$11*F102+(1-$D$11)*F103)-(F102-F103)/((1+$D$9)-(1/(1+$D$9)))*($D$5-$D$4))</f>
        <v>1.2907324019592292</v>
      </c>
      <c r="F115" s="23">
        <f>(1/(1+$D$4))*(($D$11*G102+(1-$D$11)*G103)-(G102-G103)/((1+$D$9)-(1/(1+$D$9)))*($D$5-$D$4))</f>
        <v>2.2087328960057415</v>
      </c>
      <c r="G115" s="23"/>
      <c r="H115" s="2"/>
      <c r="I115" s="2"/>
      <c r="J115" s="2"/>
      <c r="K115" s="2"/>
      <c r="L115" s="2"/>
      <c r="M115" s="2"/>
      <c r="N115" s="2"/>
      <c r="O115" s="2"/>
      <c r="P115" s="28"/>
      <c r="Q115" s="2"/>
      <c r="R115" s="2"/>
    </row>
    <row r="116" spans="1:18" ht="15.75">
      <c r="A116" s="20">
        <f>1+A115</f>
        <v>2</v>
      </c>
      <c r="B116" s="22"/>
      <c r="C116" s="22"/>
      <c r="D116" s="23">
        <f>(1/(1+$D$4))*(($D$11*E103+(1-$D$11)*E104)-(E103-E104)/((1+$D$9)-(1/(1+$D$9)))*($D$5-$D$4))</f>
        <v>0</v>
      </c>
      <c r="E116" s="23">
        <f>(1/(1+$D$4))*(($D$11*F103+(1-$D$11)*F104)-(F103-F104)/((1+$D$9)-(1/(1+$D$9)))*($D$5-$D$4))</f>
        <v>0</v>
      </c>
      <c r="F116" s="23">
        <f>(1/(1+$D$4))*(($D$11*G103+(1-$D$11)*G104)-(G103-G104)/((1+$D$9)-(1/(1+$D$9)))*($D$5-$D$4))</f>
        <v>0</v>
      </c>
      <c r="G116" s="23"/>
      <c r="H116" s="2"/>
      <c r="I116" s="2"/>
      <c r="J116" s="2"/>
      <c r="K116" s="2"/>
      <c r="L116" s="2"/>
      <c r="M116" s="2"/>
      <c r="N116" s="2"/>
      <c r="O116" s="2"/>
      <c r="P116" s="28"/>
      <c r="Q116" s="2"/>
      <c r="R116" s="2"/>
    </row>
    <row r="117" spans="1:18" ht="15.75">
      <c r="A117" s="20">
        <f>1+A116</f>
        <v>3</v>
      </c>
      <c r="B117" s="22"/>
      <c r="C117" s="22"/>
      <c r="D117" s="22"/>
      <c r="E117" s="23">
        <f>(1/(1+$D$4))*(($D$11*F104+(1-$D$11)*F105)-(F104-F105)/((1+$D$9)-(1/(1+$D$9)))*($D$5-$D$4))</f>
        <v>0</v>
      </c>
      <c r="F117" s="23">
        <f>(1/(1+$D$4))*(($D$11*G104+(1-$D$11)*G105)-(G104-G105)/((1+$D$9)-(1/(1+$D$9)))*($D$5-$D$4))</f>
        <v>0</v>
      </c>
      <c r="G117" s="23"/>
      <c r="H117" s="2"/>
      <c r="I117" s="2"/>
      <c r="J117" s="2"/>
      <c r="K117" s="2"/>
      <c r="L117" s="2"/>
      <c r="M117" s="2"/>
      <c r="N117" s="2"/>
      <c r="O117" s="2"/>
      <c r="P117" s="28"/>
      <c r="Q117" s="2"/>
      <c r="R117" s="2"/>
    </row>
    <row r="118" spans="1:18" ht="15.75">
      <c r="A118" s="20">
        <f>1+A117</f>
        <v>4</v>
      </c>
      <c r="B118" s="22"/>
      <c r="C118" s="22"/>
      <c r="D118" s="22"/>
      <c r="E118" s="22"/>
      <c r="F118" s="23">
        <f>(1/(1+$D$4))*(($D$11*G105+(1-$D$11)*G106)-(G105-G106)/((1+$D$9)-(1/(1+$D$9)))*($D$5-$D$4))</f>
        <v>0</v>
      </c>
      <c r="G118" s="23"/>
      <c r="H118" s="2"/>
      <c r="I118" s="2"/>
      <c r="J118" s="2"/>
      <c r="K118" s="2"/>
      <c r="L118" s="2"/>
      <c r="M118" s="2"/>
      <c r="N118" s="2"/>
      <c r="O118" s="2"/>
      <c r="P118" s="28"/>
      <c r="Q118" s="2"/>
      <c r="R118" s="2"/>
    </row>
    <row r="119" spans="1:18" ht="15.75">
      <c r="A119" s="20"/>
      <c r="B119" s="22"/>
      <c r="C119" s="22"/>
      <c r="D119" s="22"/>
      <c r="E119" s="22"/>
      <c r="F119" s="22"/>
      <c r="G119" s="23"/>
      <c r="H119" s="2"/>
      <c r="I119" s="2"/>
      <c r="J119" s="2"/>
      <c r="K119" s="2"/>
      <c r="L119" s="2"/>
      <c r="M119" s="2"/>
      <c r="N119" s="2"/>
      <c r="O119" s="2"/>
      <c r="P119" s="28"/>
      <c r="Q119" s="2"/>
      <c r="R119" s="2"/>
    </row>
    <row r="120" spans="1:18" ht="15.75">
      <c r="A120" s="22"/>
      <c r="B120" s="22" t="s">
        <v>34</v>
      </c>
      <c r="C120" s="23"/>
      <c r="D120" s="23"/>
      <c r="E120" s="23"/>
      <c r="F120" s="23"/>
      <c r="L120" s="2"/>
      <c r="M120" s="2"/>
      <c r="N120" s="2"/>
      <c r="O120" s="2"/>
      <c r="P120" s="28"/>
      <c r="Q120" s="2"/>
      <c r="R120" s="2"/>
    </row>
    <row r="121" spans="1:18" ht="15.75">
      <c r="A121" s="22" t="s">
        <v>30</v>
      </c>
      <c r="B121" s="22">
        <v>0</v>
      </c>
      <c r="C121" s="22">
        <v>1</v>
      </c>
      <c r="D121" s="22">
        <v>2</v>
      </c>
      <c r="E121" s="22">
        <v>3</v>
      </c>
      <c r="F121" s="22"/>
      <c r="M121" s="2"/>
      <c r="N121" s="2"/>
      <c r="O121" s="2"/>
      <c r="P121" s="28"/>
      <c r="Q121" s="2"/>
      <c r="R121" s="2"/>
    </row>
    <row r="122" spans="1:18" ht="15.75">
      <c r="A122" s="20" t="s">
        <v>10</v>
      </c>
      <c r="B122" s="22"/>
      <c r="C122" s="22"/>
      <c r="D122" s="22"/>
      <c r="E122" s="22"/>
      <c r="F122" s="22"/>
      <c r="O122" s="2"/>
      <c r="P122" s="28"/>
      <c r="Q122" s="2"/>
      <c r="R122" s="2"/>
    </row>
    <row r="123" spans="1:18" ht="15.75">
      <c r="A123" s="20">
        <v>0</v>
      </c>
      <c r="B123" s="23">
        <f>(1/(1+$D$4))*(($D$11*C114+(1-$D$11)*C115)-(C114-C115)/((1+$D$9)-(1/(1+$D$9)))*($D$5-$D$4))</f>
        <v>6.1878371816007647</v>
      </c>
      <c r="C123" s="23">
        <f t="shared" ref="C123:E124" si="27">(1/(1+$D$4))*(($D$11*D114+(1-$D$11)*D115)-(D114-D115)/((1+$D$9)-(1/(1+$D$9)))*($D$5-$D$4))</f>
        <v>8.0290955201157477</v>
      </c>
      <c r="D123" s="23">
        <f t="shared" si="27"/>
        <v>10.167060206791243</v>
      </c>
      <c r="E123" s="23">
        <f t="shared" si="27"/>
        <v>12.730170191277844</v>
      </c>
      <c r="F123" s="2"/>
      <c r="G123" s="2"/>
      <c r="H123" s="2"/>
      <c r="I123" s="2"/>
      <c r="J123" s="2"/>
      <c r="O123" s="2"/>
      <c r="P123" s="28"/>
      <c r="Q123" s="2"/>
      <c r="R123" s="2"/>
    </row>
    <row r="124" spans="1:18" ht="15.75">
      <c r="A124" s="20">
        <f>1+A123</f>
        <v>1</v>
      </c>
      <c r="B124" s="22"/>
      <c r="C124" s="23">
        <f t="shared" si="27"/>
        <v>0.44078036347868438</v>
      </c>
      <c r="D124" s="23">
        <f t="shared" si="27"/>
        <v>0.75427415260587083</v>
      </c>
      <c r="E124" s="23">
        <f t="shared" si="27"/>
        <v>1.2907324019592292</v>
      </c>
      <c r="F124" s="2"/>
      <c r="G124" s="2"/>
      <c r="H124" s="2"/>
      <c r="I124" s="2"/>
      <c r="J124" s="2"/>
      <c r="O124" s="2"/>
      <c r="P124" s="28"/>
      <c r="Q124" s="2"/>
      <c r="R124" s="2"/>
    </row>
    <row r="125" spans="1:18" ht="15.75">
      <c r="A125" s="20">
        <f>1+A124</f>
        <v>2</v>
      </c>
      <c r="B125" s="22"/>
      <c r="C125" s="22"/>
      <c r="D125" s="23">
        <f>(1/(1+$D$4))*(($D$11*E116+(1-$D$11)*E117)-(E116-E117)/((1+$D$9)-(1/(1+$D$9)))*($D$5-$D$4))</f>
        <v>0</v>
      </c>
      <c r="E125" s="23">
        <f>(1/(1+$D$4))*(($D$11*F116+(1-$D$11)*F117)-(F116-F117)/((1+$D$9)-(1/(1+$D$9)))*($D$5-$D$4))</f>
        <v>0</v>
      </c>
      <c r="F125" s="2"/>
      <c r="G125" s="2"/>
      <c r="H125" s="2"/>
      <c r="I125" s="2"/>
      <c r="J125" s="2"/>
      <c r="O125" s="2"/>
      <c r="P125" s="28"/>
      <c r="Q125" s="2"/>
      <c r="R125" s="2"/>
    </row>
    <row r="126" spans="1:18" ht="15.75">
      <c r="A126" s="20">
        <f>1+A125</f>
        <v>3</v>
      </c>
      <c r="B126" s="22"/>
      <c r="C126" s="22"/>
      <c r="D126" s="22"/>
      <c r="E126" s="23">
        <f>(1/(1+$D$4))*(($D$11*F117+(1-$D$11)*F118)-(F117-F118)/((1+$D$9)-(1/(1+$D$9)))*($D$5-$D$4))</f>
        <v>0</v>
      </c>
      <c r="F126" s="2"/>
      <c r="G126" s="2"/>
      <c r="H126" s="2"/>
      <c r="I126" s="2"/>
      <c r="J126" s="2"/>
      <c r="O126" s="2"/>
      <c r="P126" s="28"/>
      <c r="Q126" s="2"/>
      <c r="R126" s="2"/>
    </row>
    <row r="127" spans="1:18">
      <c r="F127" s="2"/>
      <c r="G127" s="2"/>
      <c r="H127" s="2"/>
      <c r="I127" s="2"/>
      <c r="J127" s="2"/>
      <c r="O127" s="2"/>
      <c r="P127" s="28"/>
      <c r="Q127" s="2"/>
      <c r="R127" s="2"/>
    </row>
    <row r="128" spans="1:18" ht="15.75">
      <c r="A128" s="26" t="s">
        <v>30</v>
      </c>
      <c r="B128" s="22">
        <v>0</v>
      </c>
      <c r="C128" s="22">
        <v>1</v>
      </c>
      <c r="D128" s="22">
        <v>2</v>
      </c>
      <c r="E128" s="22">
        <v>3</v>
      </c>
      <c r="F128" s="22">
        <v>4</v>
      </c>
      <c r="G128" s="22">
        <v>5</v>
      </c>
      <c r="H128" s="22"/>
      <c r="I128" s="22"/>
      <c r="O128" s="2"/>
      <c r="P128" s="28"/>
      <c r="Q128" s="2"/>
      <c r="R128" s="2"/>
    </row>
    <row r="129" spans="1:18" ht="15.75">
      <c r="A129" s="63" t="s">
        <v>35</v>
      </c>
      <c r="B129" s="65"/>
      <c r="C129" s="64">
        <f>$B$12*((1+$D$5)/(1+$D$6))^C128</f>
        <v>60.555555555555557</v>
      </c>
      <c r="D129" s="64">
        <f>$B$12*((1+$D$5)/(1+$D$6))^D128</f>
        <v>61.116255144032927</v>
      </c>
      <c r="E129" s="64">
        <f>$B$12*((1+$D$5)/(1+$D$6))^E128</f>
        <v>61.682146395366566</v>
      </c>
      <c r="F129" s="64">
        <f>$B$12*((1+$D$5)/(1+$D$6))^F128</f>
        <v>62.253277380508855</v>
      </c>
      <c r="G129" s="64">
        <f>$B$12*((1+$D$5)/(1+$D$6))^G128</f>
        <v>62.829696615513569</v>
      </c>
      <c r="H129" s="95"/>
      <c r="I129" s="95"/>
      <c r="O129" s="2"/>
      <c r="P129" s="28"/>
      <c r="Q129" s="2"/>
      <c r="R129" s="2"/>
    </row>
    <row r="130" spans="1:18" ht="15.75">
      <c r="A130" s="20" t="s">
        <v>10</v>
      </c>
      <c r="B130" s="21" t="s">
        <v>51</v>
      </c>
      <c r="C130" s="22"/>
      <c r="D130" s="22"/>
      <c r="E130" s="22"/>
      <c r="F130" s="22"/>
      <c r="G130" s="22"/>
      <c r="H130" s="10"/>
      <c r="I130" s="10"/>
      <c r="O130" s="2"/>
      <c r="P130" s="28"/>
      <c r="Q130" s="2"/>
      <c r="R130" s="2"/>
    </row>
    <row r="131" spans="1:18" s="2" customFormat="1" ht="15.75">
      <c r="A131" s="20">
        <v>0</v>
      </c>
      <c r="B131" s="23">
        <f>B12</f>
        <v>60</v>
      </c>
      <c r="C131" s="23">
        <f>(1+$D$9)/(1+$D$6)*B131</f>
        <v>63.888888888888879</v>
      </c>
      <c r="D131" s="23">
        <f>(1+$D$9)/(1+$D$6)*C131</f>
        <v>68.029835390946488</v>
      </c>
      <c r="E131" s="23">
        <f>(1+$D$9)/(1+$D$6)*D131</f>
        <v>72.439176573693004</v>
      </c>
      <c r="F131" s="23">
        <f>(1+$D$9)/(1+$D$6)*E131</f>
        <v>77.134308388654574</v>
      </c>
      <c r="G131" s="23">
        <f>(1+$D$9)/(1+$D$6)*F131</f>
        <v>82.133754302734019</v>
      </c>
      <c r="P131" s="28"/>
    </row>
    <row r="132" spans="1:18" s="2" customFormat="1" ht="15.75">
      <c r="A132" s="20">
        <f>1+A131</f>
        <v>1</v>
      </c>
      <c r="B132" s="23"/>
      <c r="C132" s="23">
        <f>1/(1+$D$9)/(1+$D$6)*B131</f>
        <v>48.309178743961354</v>
      </c>
      <c r="D132" s="23">
        <f>1/(1+$D$9)/(1+$D$6)*C131</f>
        <v>51.440329218106989</v>
      </c>
      <c r="E132" s="23">
        <f>1/(1+$D$9)/(1+$D$6)*D131</f>
        <v>54.7744246303917</v>
      </c>
      <c r="F132" s="23">
        <f>1/(1+$D$9)/(1+$D$6)*E131</f>
        <v>58.324618819398559</v>
      </c>
      <c r="G132" s="23">
        <f>1/(1+$D$9)/(1+$D$6)*F131</f>
        <v>62.104918187322525</v>
      </c>
      <c r="P132" s="28"/>
    </row>
    <row r="133" spans="1:18" s="2" customFormat="1" ht="15.75">
      <c r="A133" s="20">
        <f>1+A132</f>
        <v>2</v>
      </c>
      <c r="B133" s="23"/>
      <c r="C133" s="23"/>
      <c r="D133" s="23">
        <f>1/(1+$D$9)/(1+$D$6)*C132</f>
        <v>38.896279181933458</v>
      </c>
      <c r="E133" s="23">
        <f>1/(1+$D$9)/(1+$D$6)*D132</f>
        <v>41.417334314095804</v>
      </c>
      <c r="F133" s="23">
        <f>1/(1+$D$9)/(1+$D$6)*E132</f>
        <v>44.101791167787198</v>
      </c>
      <c r="G133" s="23">
        <f>1/(1+$D$9)/(1+$D$6)*F132</f>
        <v>46.960240595328955</v>
      </c>
      <c r="P133" s="28"/>
    </row>
    <row r="134" spans="1:18" s="2" customFormat="1" ht="15.75">
      <c r="A134" s="20">
        <f>1+A133</f>
        <v>3</v>
      </c>
      <c r="B134" s="23"/>
      <c r="C134" s="23"/>
      <c r="D134" s="23"/>
      <c r="E134" s="23">
        <f>1/(1+$D$9)/(1+$D$6)*D133</f>
        <v>31.317455057917439</v>
      </c>
      <c r="F134" s="23">
        <f>1/(1+$D$9)/(1+$D$6)*E133</f>
        <v>33.347290107967638</v>
      </c>
      <c r="G134" s="23">
        <f>1/(1+$D$9)/(1+$D$6)*F133</f>
        <v>35.508688540891463</v>
      </c>
      <c r="P134" s="28"/>
    </row>
    <row r="135" spans="1:18" s="2" customFormat="1" ht="15.75">
      <c r="A135" s="20">
        <f>1+A134</f>
        <v>4</v>
      </c>
      <c r="B135" s="23"/>
      <c r="C135" s="23"/>
      <c r="D135" s="23"/>
      <c r="E135" s="23"/>
      <c r="F135" s="23">
        <f>1/(1+$D$9)/(1+$D$6)*E134</f>
        <v>25.215342236648503</v>
      </c>
      <c r="G135" s="23">
        <f>1/(1+$D$9)/(1+$D$6)*F134</f>
        <v>26.84966997420905</v>
      </c>
      <c r="P135" s="28"/>
    </row>
    <row r="136" spans="1:18" s="2" customFormat="1" ht="15.75">
      <c r="A136" s="20">
        <f>1+A135</f>
        <v>5</v>
      </c>
      <c r="B136" s="23"/>
      <c r="C136" s="23"/>
      <c r="D136" s="23"/>
      <c r="E136" s="23"/>
      <c r="F136" s="23"/>
      <c r="G136" s="23">
        <f>1/(1+$D$9)/(1+$D$6)*F135</f>
        <v>20.302207920006847</v>
      </c>
      <c r="P136" s="28"/>
    </row>
    <row r="137" spans="1:18" s="2" customFormat="1">
      <c r="P137" s="28"/>
    </row>
    <row r="138" spans="1:18" s="2" customFormat="1" ht="15.75">
      <c r="A138" s="26" t="s">
        <v>30</v>
      </c>
      <c r="B138" s="22">
        <v>0</v>
      </c>
      <c r="C138" s="22">
        <v>1</v>
      </c>
      <c r="D138" s="22">
        <v>2</v>
      </c>
      <c r="E138" s="22">
        <v>3</v>
      </c>
      <c r="F138" s="22">
        <v>4</v>
      </c>
      <c r="G138" s="22">
        <v>5</v>
      </c>
      <c r="P138" s="28"/>
    </row>
    <row r="139" spans="1:18" ht="15.75">
      <c r="A139" s="20" t="s">
        <v>10</v>
      </c>
      <c r="B139" s="21" t="s">
        <v>36</v>
      </c>
      <c r="C139" s="22"/>
      <c r="D139" s="22"/>
      <c r="E139" s="22"/>
      <c r="F139" s="22"/>
      <c r="G139" s="22"/>
      <c r="O139" s="2"/>
      <c r="P139" s="28"/>
      <c r="Q139" s="2"/>
      <c r="R139" s="2"/>
    </row>
    <row r="140" spans="1:18" ht="15.75">
      <c r="A140" s="20">
        <v>0</v>
      </c>
      <c r="B140" s="23">
        <f>B13</f>
        <v>48</v>
      </c>
      <c r="C140" s="23">
        <f t="shared" ref="C140:G141" si="28">(1+$D$7)*B$140</f>
        <v>48.96</v>
      </c>
      <c r="D140" s="23">
        <f t="shared" si="28"/>
        <v>49.9392</v>
      </c>
      <c r="E140" s="23">
        <f t="shared" si="28"/>
        <v>50.937984</v>
      </c>
      <c r="F140" s="23">
        <f t="shared" si="28"/>
        <v>51.956743680000002</v>
      </c>
      <c r="G140" s="23">
        <f t="shared" si="28"/>
        <v>52.995878553600001</v>
      </c>
      <c r="H140" s="2"/>
      <c r="I140" s="2"/>
      <c r="J140" s="2"/>
      <c r="K140" s="2"/>
      <c r="L140" s="2"/>
      <c r="M140" s="2"/>
      <c r="N140" s="2"/>
      <c r="O140" s="2"/>
      <c r="P140" s="28"/>
      <c r="Q140" s="2"/>
      <c r="R140" s="2"/>
    </row>
    <row r="141" spans="1:18" ht="15.75">
      <c r="A141" s="20">
        <f>1+A140</f>
        <v>1</v>
      </c>
      <c r="B141" s="22"/>
      <c r="C141" s="23">
        <f t="shared" si="28"/>
        <v>48.96</v>
      </c>
      <c r="D141" s="23">
        <f t="shared" si="28"/>
        <v>49.9392</v>
      </c>
      <c r="E141" s="23">
        <f t="shared" si="28"/>
        <v>50.937984</v>
      </c>
      <c r="F141" s="23">
        <f t="shared" si="28"/>
        <v>51.956743680000002</v>
      </c>
      <c r="G141" s="23">
        <f t="shared" si="28"/>
        <v>52.995878553600001</v>
      </c>
      <c r="H141" s="2"/>
      <c r="I141" s="2"/>
      <c r="J141" s="2"/>
      <c r="K141" s="2"/>
      <c r="L141" s="2"/>
      <c r="M141" s="2"/>
      <c r="N141" s="2"/>
      <c r="O141" s="2"/>
      <c r="P141" s="28"/>
      <c r="Q141" s="2"/>
      <c r="R141" s="2"/>
    </row>
    <row r="142" spans="1:18" ht="15.75">
      <c r="A142" s="20">
        <f>1+A141</f>
        <v>2</v>
      </c>
      <c r="B142" s="22"/>
      <c r="C142" s="22"/>
      <c r="D142" s="23">
        <f>$B$13/$B$11*D90</f>
        <v>49.9392</v>
      </c>
      <c r="E142" s="23">
        <f>(1+$D$7)*D$140</f>
        <v>50.937984</v>
      </c>
      <c r="F142" s="23">
        <f>$B$13/$B$11*F90</f>
        <v>51.956743680000002</v>
      </c>
      <c r="G142" s="23">
        <f>(1+$D$7)*F$140</f>
        <v>52.995878553600001</v>
      </c>
      <c r="H142" s="2"/>
      <c r="I142" s="2"/>
      <c r="J142" s="2"/>
      <c r="K142" s="2"/>
      <c r="L142" s="2"/>
      <c r="M142" s="2"/>
      <c r="N142" s="2"/>
      <c r="O142" s="2"/>
      <c r="P142" s="28"/>
      <c r="Q142" s="2"/>
      <c r="R142" s="2"/>
    </row>
    <row r="143" spans="1:18" ht="15.75">
      <c r="A143" s="20">
        <f>1+A142</f>
        <v>3</v>
      </c>
      <c r="B143" s="22"/>
      <c r="C143" s="22"/>
      <c r="D143" s="22"/>
      <c r="E143" s="23">
        <f>(1+$D$7)*D$140</f>
        <v>50.937984</v>
      </c>
      <c r="F143" s="23">
        <f>$B$13/$B$11*F91</f>
        <v>51.956743680000002</v>
      </c>
      <c r="G143" s="23">
        <f>(1+$D$7)*F$140</f>
        <v>52.995878553600001</v>
      </c>
      <c r="H143" s="2"/>
      <c r="I143" s="2"/>
      <c r="J143" s="2"/>
      <c r="K143" s="2"/>
      <c r="L143" s="2"/>
      <c r="M143" s="2"/>
      <c r="N143" s="2"/>
      <c r="O143" s="2"/>
      <c r="P143" s="28"/>
      <c r="Q143" s="2"/>
      <c r="R143" s="2"/>
    </row>
    <row r="144" spans="1:18" ht="15.75">
      <c r="A144" s="20">
        <f>1+A143</f>
        <v>4</v>
      </c>
      <c r="B144" s="22"/>
      <c r="C144" s="22"/>
      <c r="D144" s="22"/>
      <c r="E144" s="22"/>
      <c r="F144" s="23">
        <f>$B$13/$B$11*F92</f>
        <v>51.956743680000002</v>
      </c>
      <c r="G144" s="23">
        <f>(1+$D$7)*F$140</f>
        <v>52.995878553600001</v>
      </c>
      <c r="H144" s="2"/>
      <c r="I144" s="2"/>
      <c r="J144" s="2"/>
      <c r="K144" s="2"/>
      <c r="L144" s="2"/>
      <c r="M144" s="2"/>
      <c r="N144" s="2"/>
      <c r="O144" s="2"/>
      <c r="P144" s="28"/>
      <c r="Q144" s="2"/>
      <c r="R144" s="2"/>
    </row>
    <row r="145" spans="1:18" ht="15.75">
      <c r="A145" s="20">
        <f>1+A144</f>
        <v>5</v>
      </c>
      <c r="B145" s="22"/>
      <c r="C145" s="22"/>
      <c r="D145" s="22"/>
      <c r="E145" s="22"/>
      <c r="F145" s="22"/>
      <c r="G145" s="23">
        <f>(1+$D$7)*F$140</f>
        <v>52.995878553600001</v>
      </c>
      <c r="H145" s="2"/>
      <c r="I145" s="2"/>
      <c r="J145" s="2"/>
      <c r="K145" s="2"/>
      <c r="L145" s="2"/>
      <c r="M145" s="2"/>
      <c r="N145" s="2"/>
      <c r="O145" s="2"/>
      <c r="P145" s="28"/>
      <c r="Q145" s="2"/>
      <c r="R145" s="2"/>
    </row>
    <row r="146" spans="1:18" ht="15.75">
      <c r="A146" s="22"/>
      <c r="B146" s="22"/>
      <c r="C146" s="22"/>
      <c r="D146" s="22"/>
      <c r="E146" s="22"/>
      <c r="F146" s="22"/>
      <c r="G146" s="22"/>
      <c r="H146" s="2"/>
      <c r="I146" s="2"/>
      <c r="J146" s="2"/>
      <c r="K146" s="2"/>
      <c r="L146" s="2"/>
      <c r="M146" s="2"/>
      <c r="N146" s="2"/>
      <c r="O146" s="2"/>
      <c r="P146" s="28"/>
      <c r="Q146" s="2"/>
      <c r="R146" s="2"/>
    </row>
    <row r="147" spans="1:18">
      <c r="B147" t="s">
        <v>18</v>
      </c>
      <c r="J147" s="2"/>
      <c r="K147" s="2"/>
      <c r="L147" s="2"/>
      <c r="M147" s="2"/>
      <c r="N147" s="2"/>
      <c r="O147" s="2"/>
      <c r="P147" s="28"/>
      <c r="Q147" s="2"/>
      <c r="R147" s="2"/>
    </row>
    <row r="148" spans="1:18">
      <c r="B148" t="s">
        <v>94</v>
      </c>
      <c r="K148" s="2"/>
      <c r="L148" s="2"/>
      <c r="M148" s="2"/>
      <c r="N148" s="2"/>
      <c r="O148" s="2"/>
      <c r="P148" s="28"/>
      <c r="Q148" s="2"/>
      <c r="R148" s="2"/>
    </row>
    <row r="149" spans="1:18">
      <c r="B149" t="s">
        <v>47</v>
      </c>
      <c r="L149" s="2"/>
      <c r="M149" s="2"/>
      <c r="N149" s="2"/>
      <c r="O149" s="2"/>
      <c r="P149" s="28"/>
      <c r="Q149" s="2"/>
      <c r="R149" s="2"/>
    </row>
    <row r="150" spans="1:18" ht="15.75">
      <c r="A150" s="21" t="s">
        <v>38</v>
      </c>
      <c r="B150" s="22"/>
      <c r="C150" s="22"/>
      <c r="D150" s="22"/>
      <c r="E150" s="22"/>
      <c r="O150" s="2"/>
      <c r="P150" s="28"/>
      <c r="Q150" s="2"/>
      <c r="R150" s="2"/>
    </row>
    <row r="151" spans="1:18" ht="15.75">
      <c r="A151" s="21" t="s">
        <v>96</v>
      </c>
      <c r="B151" s="22"/>
      <c r="C151" s="22"/>
      <c r="D151" s="22"/>
      <c r="E151" s="22"/>
      <c r="O151" s="2"/>
      <c r="P151" s="28"/>
      <c r="Q151" s="2"/>
      <c r="R151" s="2"/>
    </row>
    <row r="152" spans="1:18" ht="15.75">
      <c r="A152" s="22" t="s">
        <v>30</v>
      </c>
      <c r="B152" s="22">
        <v>0</v>
      </c>
      <c r="C152" s="22">
        <v>1</v>
      </c>
      <c r="D152" s="22">
        <v>2</v>
      </c>
      <c r="E152" s="22">
        <v>3</v>
      </c>
      <c r="O152" s="2"/>
      <c r="P152" s="28"/>
      <c r="Q152" s="2"/>
      <c r="R152" s="2"/>
    </row>
    <row r="153" spans="1:18" ht="15.75">
      <c r="A153" s="20" t="s">
        <v>10</v>
      </c>
      <c r="B153" s="22"/>
      <c r="C153" s="22"/>
      <c r="D153" s="22"/>
      <c r="E153" s="22" t="s">
        <v>33</v>
      </c>
      <c r="I153" s="10"/>
      <c r="J153" s="10"/>
      <c r="K153" s="10"/>
      <c r="L153" s="10"/>
      <c r="M153" s="10"/>
      <c r="N153" s="10"/>
      <c r="O153" s="28"/>
      <c r="P153" s="28"/>
      <c r="Q153" s="2"/>
      <c r="R153" s="2"/>
    </row>
    <row r="154" spans="1:18" ht="15.75">
      <c r="A154" s="20">
        <v>0</v>
      </c>
      <c r="B154" s="23">
        <f>MAX(B54,B131/(1+$D$6)^2-D140/(1+$D$4)^2+B123,MAX(B54,(1/(1+$D$4))*(($D$11*C154+(1-$D$11)*C155)-(C154-C155)/((1+$D$9)-1/(1+$D$9))*($D$5-$D$4))))</f>
        <v>11.456568766571666</v>
      </c>
      <c r="C154" s="23">
        <f>MAX(C54,C131/(1+$D$6)^2-E140/(1+$D$4)^2+C123,MAX(C54,(1/(1+$D$4))*(($D$11*D154+(1-$D$11)*D155)-(D154-D155)/((1+$D$9)-1/(1+$D$9))*($D$5-$D$4))))</f>
        <v>15.708490564708628</v>
      </c>
      <c r="D154" s="23">
        <f>MAX(D54,D131/(1+$D$6)^2-F140/(1+$D$4)^2+D123,MAX(D54,(1/(1+$D$4))*(($D$11*E154+(1-$D$11)*E155)-(E154-E155)/((1+$D$9)-1/(1+$D$9))*($D$5-$D$4))))</f>
        <v>20.45474884867501</v>
      </c>
      <c r="E154" s="23">
        <f>MAX(E54,E131/(1+$D$6)^2-G140/(1+$D$4)^2+E123)</f>
        <v>25.837419597535288</v>
      </c>
      <c r="F154" s="8"/>
      <c r="G154" s="2"/>
      <c r="H154" s="2"/>
      <c r="I154" s="28"/>
      <c r="J154" s="28"/>
      <c r="K154" s="28"/>
      <c r="L154" s="28"/>
      <c r="M154" s="28"/>
      <c r="N154" s="28"/>
      <c r="O154" s="28"/>
      <c r="P154" s="28"/>
      <c r="Q154" s="2"/>
      <c r="R154" s="2"/>
    </row>
    <row r="155" spans="1:18" ht="15.75">
      <c r="A155" s="20">
        <v>1</v>
      </c>
      <c r="B155" s="22"/>
      <c r="C155" s="23">
        <f>MAX(C55,C132/(1+$D$6)^2-E141/(1+$D$4)^2+C124,MAX(C55,(1/(1+$D$4))*(($D$11*D155+(1-$D$11)*D156)-(D155-D156)/((1+$D$9)-1/(1+$D$9))*($D$5-$D$4))))</f>
        <v>1.2014887527660023</v>
      </c>
      <c r="D155" s="23">
        <f>MAX(D55,D132/(1+$D$6)^2-F141/(1+$D$4)^2+D124,MAX(D55,(1/(1+$D$4))*(($D$11*E155+(1-$D$11)*E156)-(E155-E156)/((1+$D$9)-1/(1+$D$9))*($D$5-$D$4))))</f>
        <v>1.6298485224785504</v>
      </c>
      <c r="E155" s="23">
        <f>MAX(E55,E132/(1+$D$6)^2-G141/(1+$D$4)^2+E124)</f>
        <v>2.210928899758799</v>
      </c>
      <c r="F155" s="8"/>
      <c r="G155" s="2"/>
      <c r="H155" s="2"/>
      <c r="I155" s="28"/>
      <c r="J155" s="28"/>
      <c r="K155" s="28"/>
      <c r="L155" s="28"/>
      <c r="M155" s="28"/>
      <c r="N155" s="28"/>
      <c r="O155" s="28"/>
      <c r="P155" s="28"/>
      <c r="Q155" s="2"/>
      <c r="R155" s="2"/>
    </row>
    <row r="156" spans="1:18" ht="15.75">
      <c r="A156" s="20">
        <v>2</v>
      </c>
      <c r="B156" s="22"/>
      <c r="C156" s="22"/>
      <c r="D156" s="23">
        <f>MAX(D56,D133/(1+$D$6)^2-F142/(1+$D$4)^2+D125,MAX(D56,(1/(1+$D$4))*(($D$11*E156+(1-$D$11)*E157)-(E156-E157)/((1+$D$9)-1/(1+$D$9))*($D$5-$D$4))))</f>
        <v>0.25536907227015282</v>
      </c>
      <c r="E156" s="23">
        <f>MAX(E56,E133/(1+$D$6)^2-G142/(1+$D$4)^2+E125)</f>
        <v>0.34641431654523863</v>
      </c>
      <c r="F156" s="8"/>
      <c r="G156" s="2"/>
      <c r="H156" s="2"/>
      <c r="I156" s="28"/>
      <c r="J156" s="28"/>
      <c r="K156" s="28"/>
      <c r="L156" s="28"/>
      <c r="M156" s="28"/>
      <c r="N156" s="28"/>
      <c r="O156" s="28"/>
      <c r="P156" s="28"/>
      <c r="Q156" s="2"/>
      <c r="R156" s="2"/>
    </row>
    <row r="157" spans="1:18" ht="15.75">
      <c r="A157" s="20">
        <v>3</v>
      </c>
      <c r="B157" s="22"/>
      <c r="C157" s="22"/>
      <c r="D157" s="22"/>
      <c r="E157" s="23">
        <f>MAX(E57,E134/(1+$D$6)^2-G143/(1+$D$4)^2+E126)</f>
        <v>5.4277131535345371E-2</v>
      </c>
      <c r="F157" s="8"/>
      <c r="G157" s="2"/>
      <c r="H157" s="2"/>
      <c r="I157" s="28"/>
      <c r="J157" s="28"/>
      <c r="K157" s="28"/>
      <c r="L157" s="28"/>
      <c r="M157" s="28"/>
      <c r="N157" s="28"/>
      <c r="O157" s="28"/>
      <c r="P157" s="28"/>
      <c r="Q157" s="2"/>
      <c r="R157" s="2"/>
    </row>
    <row r="158" spans="1:18" ht="15.75">
      <c r="A158" s="22"/>
      <c r="B158" s="22"/>
      <c r="C158" s="22"/>
      <c r="D158" s="22"/>
      <c r="E158" s="22"/>
      <c r="F158" s="8"/>
      <c r="G158" s="2"/>
      <c r="H158" s="2"/>
      <c r="I158" s="28"/>
      <c r="J158" s="28"/>
      <c r="K158" s="28"/>
      <c r="L158" s="28"/>
      <c r="M158" s="28"/>
      <c r="N158" s="28"/>
      <c r="O158" s="28"/>
      <c r="P158" s="28"/>
      <c r="Q158" s="2"/>
      <c r="R158" s="2"/>
    </row>
    <row r="159" spans="1:18">
      <c r="G159" s="2"/>
      <c r="H159" s="2"/>
      <c r="I159" s="28"/>
      <c r="J159" s="28"/>
      <c r="K159" s="28"/>
      <c r="L159" s="28"/>
      <c r="M159" s="28"/>
      <c r="N159" s="28"/>
      <c r="O159" s="28"/>
      <c r="P159" s="28"/>
      <c r="Q159" s="2"/>
      <c r="R159" s="2"/>
    </row>
    <row r="160" spans="1:18" ht="15.75">
      <c r="A160" s="26" t="s">
        <v>30</v>
      </c>
      <c r="B160" s="22">
        <v>0</v>
      </c>
      <c r="C160" s="22">
        <v>1</v>
      </c>
      <c r="D160" s="22">
        <v>2</v>
      </c>
      <c r="E160" s="22">
        <v>3</v>
      </c>
    </row>
    <row r="161" spans="1:5" ht="15.75">
      <c r="A161" s="20" t="s">
        <v>10</v>
      </c>
      <c r="B161" s="21" t="s">
        <v>39</v>
      </c>
      <c r="C161" s="22"/>
      <c r="D161" s="22"/>
      <c r="E161" s="22"/>
    </row>
    <row r="162" spans="1:5" s="30" customFormat="1" ht="15.75">
      <c r="A162" s="20">
        <v>0</v>
      </c>
      <c r="B162" s="26" t="str">
        <f>IF(B154=B131/(1+$D$6)^2-D140/(1+$D$4)^2+B123,"exer","hold")</f>
        <v>exer</v>
      </c>
      <c r="C162" s="26" t="str">
        <f>IF(C154=C131/(1+$D$6)^2-E140/(1+$D$4)^2+C123,"exer","hold")</f>
        <v>exer</v>
      </c>
      <c r="D162" s="26" t="str">
        <f>IF(D154=D131/(1+$D$6)^2-F140/(1+$D$4)^2+D123,"exer","hold")</f>
        <v>exer</v>
      </c>
      <c r="E162" s="26" t="str">
        <f>IF(E154=E131/(1+$D$6)^2-G140/(1+$D$4)^2+E123,"exer","sell")</f>
        <v>exer</v>
      </c>
    </row>
    <row r="163" spans="1:5" s="30" customFormat="1" ht="15.75">
      <c r="A163" s="20">
        <v>1</v>
      </c>
      <c r="B163" s="26"/>
      <c r="C163" s="26" t="str">
        <f>IF(C155=C132/(1+$D$6)^2-E141/(1+$D$4)^2+C124,"exer","hold")</f>
        <v>hold</v>
      </c>
      <c r="D163" s="26" t="str">
        <f>IF(D155=D132/(1+$D$6)^2-F141/(1+$D$4)^2+D124,"exer","hold")</f>
        <v>hold</v>
      </c>
      <c r="E163" s="26" t="str">
        <f>IF(E155=E132/(1+$D$6)^2-G141/(1+$D$4)^2+E124,"exer","sell")</f>
        <v>sell</v>
      </c>
    </row>
    <row r="164" spans="1:5" s="30" customFormat="1" ht="15.75">
      <c r="A164" s="20">
        <v>2</v>
      </c>
      <c r="B164" s="26"/>
      <c r="C164" s="26"/>
      <c r="D164" s="26" t="str">
        <f>IF(D156=D133/(1+$D$6)^2-F142/(1+$D$4)^2+D125,"exer","hold")</f>
        <v>hold</v>
      </c>
      <c r="E164" s="26" t="str">
        <f>IF(E156=E133/(1+$D$6)^2-G142/(1+$D$4)^2+E125,"exer","sell")</f>
        <v>sell</v>
      </c>
    </row>
    <row r="165" spans="1:5" s="30" customFormat="1" ht="15.75">
      <c r="A165" s="20">
        <v>3</v>
      </c>
      <c r="B165" s="26"/>
      <c r="C165" s="26"/>
      <c r="D165" s="26"/>
      <c r="E165" s="26" t="str">
        <f>IF(E157=E134/(1+$D$6)^2-G143/(1+$D$4)^2+E126,"exer","sell")</f>
        <v>sell</v>
      </c>
    </row>
    <row r="166" spans="1:5" s="30" customFormat="1">
      <c r="B166" s="30" t="s">
        <v>13</v>
      </c>
    </row>
    <row r="167" spans="1:5" s="30" customFormat="1"/>
    <row r="168" spans="1:5" s="30" customFormat="1" ht="15.75">
      <c r="A168" s="26" t="s">
        <v>30</v>
      </c>
      <c r="B168" s="22">
        <v>0</v>
      </c>
      <c r="C168" s="22">
        <v>1</v>
      </c>
      <c r="D168" s="22">
        <v>2</v>
      </c>
      <c r="E168" s="22">
        <v>3</v>
      </c>
    </row>
    <row r="169" spans="1:5" s="30" customFormat="1" ht="15.75">
      <c r="A169" s="20" t="s">
        <v>10</v>
      </c>
      <c r="B169" s="66" t="s">
        <v>52</v>
      </c>
      <c r="C169" s="66"/>
      <c r="D169" s="66"/>
      <c r="E169" s="66"/>
    </row>
    <row r="170" spans="1:5" s="30" customFormat="1" ht="15.75">
      <c r="A170" s="20">
        <v>0</v>
      </c>
      <c r="B170" s="56">
        <f>(FACT(B$168)/(FACT(B$168-$A170)*FACT($A170)))*$D$11^(B$168-$A170)*(1-$D$11)^($A170)</f>
        <v>1</v>
      </c>
      <c r="C170" s="56">
        <f>(FACT(C$168)/(FACT(C$168-$A170)*FACT($A170)))*$D$11^(C$168-$A170)*(1-$D$11)^($A170)</f>
        <v>0.7860465116279074</v>
      </c>
      <c r="D170" s="56">
        <f>(FACT(D$168)/(FACT(D$168-$A170)*FACT($A170)))*$D$11^(D$168-$A170)*(1-$D$11)^($A170)</f>
        <v>0.617869118442402</v>
      </c>
      <c r="E170" s="56">
        <f>(FACT(E$168)/(FACT(E$168-$A170)*FACT($A170)))*$D$11^(E$168-$A170)*(1-$D$11)^($A170)</f>
        <v>0.48567386519426042</v>
      </c>
    </row>
    <row r="171" spans="1:5" s="30" customFormat="1" ht="15.75">
      <c r="A171" s="20">
        <v>1</v>
      </c>
      <c r="B171" s="56"/>
      <c r="C171" s="56">
        <f>(FACT(C$168)/(FACT(C$168-$A171)*FACT($A171)))*$D$11^(C$168-$A171)*(1-$D$11)^($A171)</f>
        <v>0.2139534883720926</v>
      </c>
      <c r="D171" s="56">
        <f>(FACT(D$168)/(FACT(D$168-$A171)*FACT($A171)))*$D$11^(D$168-$A171)*(1-$D$11)^($A171)</f>
        <v>0.33635478637101091</v>
      </c>
      <c r="E171" s="56">
        <f>(FACT(E$168)/(FACT(E$168-$A171)*FACT($A171)))*$D$11^(E$168-$A171)*(1-$D$11)^($A171)</f>
        <v>0.39658575974442473</v>
      </c>
    </row>
    <row r="172" spans="1:5" s="30" customFormat="1" ht="15.75">
      <c r="A172" s="20">
        <v>2</v>
      </c>
      <c r="B172" s="56"/>
      <c r="C172" s="56"/>
      <c r="D172" s="56">
        <f>(FACT(D$168)/(FACT(D$168-$A172)*FACT($A172)))*$D$11^(D$168-$A172)*(1-$D$11)^($A172)</f>
        <v>4.5776095186587165E-2</v>
      </c>
      <c r="E172" s="56">
        <f>(FACT(E$168)/(FACT(E$168-$A172)*FACT($A172)))*$D$11^(E$168-$A172)*(1-$D$11)^($A172)</f>
        <v>0.10794641981209165</v>
      </c>
    </row>
    <row r="173" spans="1:5" s="30" customFormat="1" ht="15.75">
      <c r="A173" s="20">
        <v>3</v>
      </c>
      <c r="B173" s="56"/>
      <c r="C173" s="56"/>
      <c r="D173" s="56"/>
      <c r="E173" s="56">
        <f>(FACT(E$168)/(FACT(E$168-$A173)*FACT($A173)))*$D$11^(E$168-$A173)*(1-$D$11)^($A173)</f>
        <v>9.7939552492232809E-3</v>
      </c>
    </row>
    <row r="174" spans="1:5" s="30" customFormat="1"/>
    <row r="175" spans="1:5" s="30" customFormat="1" ht="15.75">
      <c r="A175" s="26" t="s">
        <v>30</v>
      </c>
      <c r="B175" s="22">
        <v>0</v>
      </c>
      <c r="C175" s="22">
        <v>1</v>
      </c>
      <c r="D175" s="22">
        <v>2</v>
      </c>
      <c r="E175" s="22">
        <v>3</v>
      </c>
    </row>
    <row r="176" spans="1:5" s="30" customFormat="1" ht="15.75">
      <c r="A176" s="20" t="s">
        <v>10</v>
      </c>
      <c r="B176" s="66" t="s">
        <v>40</v>
      </c>
      <c r="C176" s="66"/>
      <c r="D176" s="66"/>
      <c r="E176" s="66"/>
    </row>
    <row r="177" spans="1:21" s="30" customFormat="1" ht="15.75">
      <c r="A177" s="20">
        <v>0</v>
      </c>
      <c r="B177" s="55">
        <f>(1+$D$4)*(($D$11*C154+(1-$D$11)*C155)/(($D$11*C154+(1-$D$11)*C155)-((C154-C155)/((1+$D$9)-1/(1+$D$9))*($D$5-$D$4))))-1</f>
        <v>0.30851077673343652</v>
      </c>
      <c r="C177" s="55">
        <f>(1+$D$4)*(($D$11*D154+(1-$D$11)*D155)/(($D$11*D154+(1-$D$11)*D155)-((D154-D155)/((1+$D$9)-1/(1+$D$9))*($D$5-$D$4))))-1</f>
        <v>0.30705745109643967</v>
      </c>
      <c r="D177" s="55">
        <f>(1+$D$4)*(($D$11*E154+(1-$D$11)*E155)/(($D$11*E154+(1-$D$11)*E155)-((E154-E155)/((1+$D$9)-1/(1+$D$9))*($D$5-$D$4))))-1</f>
        <v>0.30439232680219153</v>
      </c>
      <c r="E177" s="55">
        <f>(1+$D$4)*(($D$11*F54+(1-$D$11)*F55)/(($D$11*F54+(1-$D$11)*F55)-((F54-F55)/((1+$D$9)-1/(1+$D$9))*($D$5-$D$4))))-1</f>
        <v>0.24844880455974461</v>
      </c>
    </row>
    <row r="178" spans="1:21" s="30" customFormat="1" ht="15.75">
      <c r="A178" s="20">
        <v>1</v>
      </c>
      <c r="B178" s="66"/>
      <c r="C178" s="55">
        <f>(1+$D$4)*(($D$11*D155+(1-$D$11)*D156)/(($D$11*D155+(1-$D$11)*D156)-((D155-D156)/((1+$D$9)-1/(1+$D$9))*($D$5-$D$4))))-1</f>
        <v>0.27366828733844106</v>
      </c>
      <c r="D178" s="55">
        <f>(1+$D$4)*(($D$11*E155+(1-$D$11)*E156)/(($D$11*E155+(1-$D$11)*E156)-((E155-E156)/((1+$D$9)-1/(1+$D$9))*($D$5-$D$4))))-1</f>
        <v>0.27366828733844106</v>
      </c>
      <c r="E178" s="55">
        <f>(1+$D$4)*(($D$11*F55+(1-$D$11)*F56)/(($D$11*F55+(1-$D$11)*F56)-((F55-F56)/((1+$D$9)-1/(1+$D$9))*($D$5-$D$4))))-1</f>
        <v>0.27366828733844084</v>
      </c>
    </row>
    <row r="179" spans="1:21" s="30" customFormat="1" ht="15.75">
      <c r="A179" s="20">
        <v>2</v>
      </c>
      <c r="B179" s="66"/>
      <c r="C179" s="66"/>
      <c r="D179" s="55">
        <f>(1+$D$4)*(($D$11*E156+(1-$D$11)*E157)/(($D$11*E156+(1-$D$11)*E157)-((E156-E157)/((1+$D$9)-1/(1+$D$9))*($D$5-$D$4))))-1</f>
        <v>0.27366828733844106</v>
      </c>
      <c r="E179" s="55">
        <f>(1+$D$4)*(($D$11*F56+(1-$D$11)*F57)/(($D$11*F56+(1-$D$11)*F57)-((F56-F57)/((1+$D$9)-1/(1+$D$9))*($D$5-$D$4))))-1</f>
        <v>0.27366828733844129</v>
      </c>
    </row>
    <row r="180" spans="1:21" s="30" customFormat="1" ht="15.75">
      <c r="A180" s="20">
        <v>3</v>
      </c>
      <c r="B180" s="66"/>
      <c r="C180" s="66"/>
      <c r="D180" s="66"/>
      <c r="E180" s="55">
        <f>(1+$D$4)*(($D$11*F57+(1-$D$11)*F58)/(($D$11*F57+(1-$D$11)*F58)-((F57-F58)/((1+$D$9)-1/(1+$D$9))*($D$5-$D$4))))-1</f>
        <v>0.27366828733844106</v>
      </c>
    </row>
    <row r="181" spans="1:21" s="30" customFormat="1"/>
    <row r="182" spans="1:21">
      <c r="C182" s="3"/>
      <c r="D182" s="3"/>
      <c r="E182" s="3"/>
      <c r="F182" s="3"/>
      <c r="G182" s="3"/>
      <c r="H182" s="3"/>
      <c r="I182" s="3"/>
      <c r="J182" s="3"/>
      <c r="K182" s="3"/>
      <c r="L182" s="3"/>
      <c r="M182" s="3"/>
      <c r="N182" s="3"/>
      <c r="O182" s="30"/>
    </row>
    <row r="183" spans="1:21">
      <c r="C183" s="3"/>
      <c r="D183" s="3"/>
      <c r="E183" s="3"/>
      <c r="F183" s="3"/>
      <c r="G183" s="3"/>
      <c r="H183" s="3"/>
      <c r="I183" s="3"/>
      <c r="J183" s="3"/>
      <c r="K183" s="3"/>
      <c r="L183" s="3"/>
      <c r="M183" s="3"/>
      <c r="N183" s="3"/>
      <c r="O183" s="30"/>
    </row>
    <row r="184" spans="1:21">
      <c r="B184" s="30"/>
      <c r="C184" s="3"/>
      <c r="D184" s="3"/>
      <c r="E184" s="3"/>
      <c r="F184" s="3"/>
      <c r="G184" s="3"/>
      <c r="H184" s="3"/>
      <c r="I184" s="3"/>
      <c r="J184" s="3"/>
      <c r="K184" s="3"/>
      <c r="L184" s="3"/>
      <c r="M184" s="3"/>
      <c r="N184" s="3"/>
      <c r="O184" s="3"/>
    </row>
    <row r="185" spans="1:21">
      <c r="O185" s="2"/>
      <c r="P185" s="10"/>
    </row>
    <row r="186" spans="1:21">
      <c r="F186" s="75"/>
      <c r="G186" s="75"/>
      <c r="H186" s="75"/>
      <c r="I186" s="75"/>
      <c r="J186" s="75"/>
      <c r="K186" s="75"/>
      <c r="L186" s="75"/>
      <c r="M186" s="75"/>
      <c r="N186" s="75"/>
      <c r="O186" s="75"/>
      <c r="P186" s="16"/>
      <c r="Q186" s="10"/>
      <c r="R186" s="10"/>
      <c r="S186" s="10"/>
      <c r="T186" s="10"/>
      <c r="U186" s="10"/>
    </row>
    <row r="187" spans="1:21">
      <c r="F187" s="75"/>
      <c r="G187" s="75"/>
      <c r="H187" s="75"/>
      <c r="I187" s="75"/>
      <c r="J187" s="75"/>
      <c r="K187" s="75"/>
      <c r="L187" s="75"/>
      <c r="M187" s="75"/>
      <c r="N187" s="75"/>
      <c r="O187" s="75"/>
      <c r="P187" s="96"/>
      <c r="Q187" s="10"/>
      <c r="R187" s="10"/>
      <c r="S187" s="10"/>
      <c r="T187" s="10"/>
      <c r="U187" s="10"/>
    </row>
    <row r="188" spans="1:21">
      <c r="F188" s="75"/>
      <c r="G188" s="75"/>
      <c r="H188" s="75"/>
      <c r="I188" s="75"/>
      <c r="J188" s="75"/>
      <c r="K188" s="75"/>
      <c r="L188" s="75"/>
      <c r="M188" s="75"/>
      <c r="N188" s="75"/>
      <c r="O188" s="75"/>
      <c r="P188" s="96"/>
      <c r="Q188" s="10"/>
      <c r="R188" s="10"/>
      <c r="S188" s="10"/>
      <c r="T188" s="10"/>
      <c r="U188" s="10"/>
    </row>
    <row r="189" spans="1:21">
      <c r="F189" s="4"/>
      <c r="G189" s="4"/>
      <c r="H189" s="4"/>
      <c r="I189" s="4"/>
      <c r="J189" s="4"/>
      <c r="K189" s="4"/>
      <c r="L189" s="4"/>
      <c r="M189" s="4"/>
      <c r="N189" s="4"/>
      <c r="O189" s="4"/>
      <c r="P189" s="5"/>
    </row>
    <row r="190" spans="1:21">
      <c r="F190" s="4"/>
      <c r="G190" s="4"/>
      <c r="H190" s="4"/>
      <c r="I190" s="4"/>
      <c r="J190" s="4"/>
      <c r="K190" s="4"/>
      <c r="L190" s="4"/>
      <c r="M190" s="4"/>
      <c r="N190" s="4"/>
      <c r="O190" s="4"/>
      <c r="P190" s="5"/>
    </row>
    <row r="191" spans="1:21">
      <c r="F191" s="4"/>
      <c r="G191" s="4"/>
      <c r="H191" s="4"/>
      <c r="I191" s="4"/>
      <c r="J191" s="4"/>
      <c r="K191" s="4"/>
      <c r="L191" s="4"/>
      <c r="M191" s="4"/>
      <c r="N191" s="4"/>
      <c r="O191" s="4"/>
      <c r="P191" s="5"/>
    </row>
    <row r="192" spans="1:21">
      <c r="G192" s="4"/>
      <c r="H192" s="4"/>
      <c r="I192" s="4"/>
      <c r="J192" s="4"/>
      <c r="K192" s="4"/>
      <c r="L192" s="4"/>
      <c r="M192" s="4"/>
      <c r="N192" s="4"/>
      <c r="O192" s="4"/>
      <c r="P192" s="5"/>
    </row>
    <row r="193" spans="2:16">
      <c r="H193" s="4"/>
      <c r="I193" s="4"/>
      <c r="J193" s="4"/>
      <c r="K193" s="4"/>
      <c r="L193" s="4"/>
      <c r="M193" s="4"/>
      <c r="N193" s="4"/>
      <c r="O193" s="4"/>
      <c r="P193" s="5"/>
    </row>
    <row r="194" spans="2:16">
      <c r="I194" s="4"/>
      <c r="J194" s="4"/>
      <c r="K194" s="4"/>
      <c r="L194" s="4"/>
      <c r="M194" s="4"/>
      <c r="N194" s="4"/>
      <c r="O194" s="4"/>
      <c r="P194" s="5"/>
    </row>
    <row r="195" spans="2:16">
      <c r="J195" s="4"/>
      <c r="K195" s="4"/>
      <c r="L195" s="4"/>
      <c r="M195" s="4"/>
      <c r="N195" s="4"/>
      <c r="O195" s="4"/>
      <c r="P195" s="5"/>
    </row>
    <row r="196" spans="2:16">
      <c r="K196" s="4"/>
      <c r="L196" s="4"/>
      <c r="M196" s="4"/>
      <c r="N196" s="4"/>
      <c r="O196" s="4"/>
      <c r="P196" s="5"/>
    </row>
    <row r="197" spans="2:16">
      <c r="L197" s="4"/>
      <c r="M197" s="4"/>
      <c r="N197" s="4"/>
      <c r="O197" s="4"/>
      <c r="P197" s="5"/>
    </row>
    <row r="198" spans="2:16">
      <c r="M198" s="4"/>
      <c r="N198" s="4"/>
      <c r="O198" s="4"/>
      <c r="P198" s="5"/>
    </row>
    <row r="199" spans="2:16">
      <c r="N199" s="4"/>
      <c r="O199" s="4"/>
      <c r="P199" s="5"/>
    </row>
    <row r="200" spans="2:16" s="14" customFormat="1">
      <c r="O200" s="76"/>
      <c r="P200" s="121"/>
    </row>
    <row r="201" spans="2:16" s="14" customFormat="1"/>
    <row r="202" spans="2:16" s="14" customFormat="1">
      <c r="C202" s="29"/>
      <c r="D202" s="29"/>
      <c r="E202" s="29"/>
      <c r="F202" s="29"/>
      <c r="G202" s="29"/>
      <c r="H202" s="29"/>
      <c r="I202" s="29"/>
      <c r="J202" s="29"/>
      <c r="K202" s="29"/>
      <c r="L202" s="29"/>
      <c r="M202" s="29"/>
      <c r="N202" s="29"/>
      <c r="O202" s="29"/>
    </row>
    <row r="203" spans="2:16" s="14" customFormat="1">
      <c r="C203" s="74"/>
      <c r="D203" s="74"/>
      <c r="E203" s="74"/>
      <c r="F203" s="74"/>
      <c r="G203" s="74"/>
      <c r="H203" s="74"/>
      <c r="I203" s="74"/>
      <c r="J203" s="74"/>
      <c r="K203" s="74"/>
      <c r="L203" s="74"/>
      <c r="M203" s="74"/>
      <c r="N203" s="74"/>
      <c r="O203" s="74"/>
    </row>
    <row r="204" spans="2:16" s="14" customFormat="1">
      <c r="B204" s="29"/>
      <c r="C204" s="29"/>
      <c r="D204" s="29"/>
      <c r="E204" s="29"/>
      <c r="F204" s="29"/>
      <c r="G204" s="29"/>
      <c r="H204" s="29"/>
      <c r="I204" s="29"/>
      <c r="J204" s="29"/>
      <c r="K204" s="29"/>
      <c r="L204" s="29"/>
      <c r="M204" s="29"/>
      <c r="N204" s="29"/>
      <c r="O204" s="29"/>
    </row>
    <row r="205" spans="2:16" s="14" customFormat="1">
      <c r="C205" s="29"/>
      <c r="D205" s="29"/>
      <c r="E205" s="29"/>
      <c r="F205" s="29"/>
      <c r="G205" s="29"/>
      <c r="H205" s="29"/>
      <c r="I205" s="29"/>
      <c r="J205" s="29"/>
      <c r="K205" s="29"/>
      <c r="L205" s="29"/>
      <c r="M205" s="29"/>
      <c r="N205" s="29"/>
      <c r="O205" s="29"/>
    </row>
    <row r="206" spans="2:16" s="14" customFormat="1">
      <c r="D206" s="29"/>
      <c r="E206" s="29"/>
      <c r="F206" s="29"/>
      <c r="G206" s="29"/>
      <c r="H206" s="29"/>
      <c r="I206" s="29"/>
      <c r="J206" s="29"/>
      <c r="K206" s="29"/>
      <c r="L206" s="29"/>
      <c r="M206" s="29"/>
      <c r="N206" s="29"/>
      <c r="O206" s="29"/>
    </row>
    <row r="207" spans="2:16" s="14" customFormat="1">
      <c r="E207" s="29"/>
      <c r="F207" s="29"/>
      <c r="G207" s="29"/>
      <c r="H207" s="29"/>
      <c r="I207" s="29"/>
      <c r="J207" s="29"/>
      <c r="K207" s="29"/>
      <c r="L207" s="29"/>
      <c r="M207" s="29"/>
      <c r="N207" s="29"/>
      <c r="O207" s="29"/>
    </row>
    <row r="208" spans="2:16" s="14" customFormat="1">
      <c r="F208" s="29"/>
      <c r="G208" s="29"/>
      <c r="H208" s="29"/>
      <c r="I208" s="29"/>
      <c r="J208" s="29"/>
      <c r="K208" s="29"/>
      <c r="L208" s="29"/>
      <c r="M208" s="29"/>
      <c r="N208" s="29"/>
      <c r="O208" s="29"/>
    </row>
    <row r="209" spans="2:15" s="14" customFormat="1">
      <c r="G209" s="29"/>
      <c r="H209" s="29"/>
      <c r="I209" s="29"/>
      <c r="J209" s="29"/>
      <c r="K209" s="29"/>
      <c r="L209" s="29"/>
      <c r="M209" s="29"/>
      <c r="N209" s="29"/>
      <c r="O209" s="29"/>
    </row>
    <row r="210" spans="2:15" s="14" customFormat="1">
      <c r="H210" s="29"/>
      <c r="I210" s="29"/>
      <c r="J210" s="29"/>
      <c r="K210" s="29"/>
      <c r="L210" s="29"/>
      <c r="M210" s="29"/>
      <c r="N210" s="29"/>
      <c r="O210" s="29"/>
    </row>
    <row r="211" spans="2:15" s="14" customFormat="1">
      <c r="I211" s="29"/>
      <c r="J211" s="29"/>
      <c r="K211" s="29"/>
      <c r="L211" s="29"/>
      <c r="M211" s="29"/>
      <c r="N211" s="29"/>
      <c r="O211" s="29"/>
    </row>
    <row r="212" spans="2:15" s="14" customFormat="1">
      <c r="J212" s="29"/>
      <c r="K212" s="29"/>
      <c r="L212" s="29"/>
      <c r="M212" s="29"/>
      <c r="N212" s="29"/>
      <c r="O212" s="29"/>
    </row>
    <row r="213" spans="2:15" s="14" customFormat="1">
      <c r="K213" s="29"/>
      <c r="L213" s="29"/>
      <c r="M213" s="29"/>
      <c r="N213" s="29"/>
      <c r="O213" s="29"/>
    </row>
    <row r="214" spans="2:15" s="14" customFormat="1">
      <c r="L214" s="29"/>
      <c r="M214" s="29"/>
      <c r="N214" s="29"/>
      <c r="O214" s="29"/>
    </row>
    <row r="215" spans="2:15" s="14" customFormat="1">
      <c r="M215" s="29"/>
      <c r="N215" s="29"/>
      <c r="O215" s="29"/>
    </row>
    <row r="216" spans="2:15" s="14" customFormat="1">
      <c r="N216" s="29"/>
      <c r="O216" s="29"/>
    </row>
    <row r="217" spans="2:15" s="14" customFormat="1">
      <c r="O217" s="29"/>
    </row>
    <row r="218" spans="2:15" s="14" customFormat="1"/>
    <row r="219" spans="2:15" s="14" customFormat="1"/>
    <row r="220" spans="2:15" s="14" customFormat="1">
      <c r="B220" s="74"/>
      <c r="C220" s="74"/>
      <c r="D220" s="74"/>
      <c r="E220" s="74"/>
      <c r="F220" s="74"/>
      <c r="G220" s="74"/>
      <c r="H220" s="74"/>
      <c r="I220" s="74"/>
      <c r="J220" s="74"/>
      <c r="K220" s="74"/>
      <c r="L220" s="74"/>
      <c r="M220" s="74"/>
      <c r="N220" s="74"/>
      <c r="O220" s="74"/>
    </row>
    <row r="221" spans="2:15" s="14" customFormat="1">
      <c r="B221" s="74"/>
      <c r="C221" s="74"/>
      <c r="D221" s="74"/>
      <c r="E221" s="74"/>
      <c r="F221" s="74"/>
      <c r="G221" s="74"/>
      <c r="H221" s="74"/>
      <c r="I221" s="74"/>
      <c r="J221" s="74"/>
      <c r="K221" s="74"/>
      <c r="L221" s="74"/>
      <c r="M221" s="74"/>
      <c r="N221" s="74"/>
      <c r="O221" s="74"/>
    </row>
    <row r="222" spans="2:15" s="14" customFormat="1">
      <c r="B222" s="74"/>
      <c r="C222" s="74"/>
      <c r="D222" s="74"/>
      <c r="E222" s="74"/>
      <c r="F222" s="74"/>
      <c r="G222" s="74"/>
      <c r="H222" s="74"/>
      <c r="I222" s="74"/>
      <c r="J222" s="74"/>
      <c r="K222" s="74"/>
      <c r="L222" s="74"/>
      <c r="M222" s="74"/>
      <c r="N222" s="74"/>
      <c r="O222" s="74"/>
    </row>
    <row r="223" spans="2:15" s="14" customFormat="1">
      <c r="B223" s="74"/>
      <c r="C223" s="74"/>
      <c r="D223" s="74"/>
      <c r="E223" s="74"/>
      <c r="F223" s="74"/>
      <c r="G223" s="74"/>
      <c r="H223" s="74"/>
      <c r="I223" s="74"/>
      <c r="J223" s="74"/>
      <c r="K223" s="74"/>
      <c r="L223" s="74"/>
      <c r="M223" s="74"/>
      <c r="N223" s="74"/>
      <c r="O223" s="74"/>
    </row>
    <row r="224" spans="2:15" s="14" customFormat="1">
      <c r="B224" s="74"/>
      <c r="C224" s="74"/>
      <c r="D224" s="74"/>
      <c r="E224" s="74"/>
      <c r="F224" s="74"/>
      <c r="G224" s="74"/>
      <c r="H224" s="74"/>
      <c r="I224" s="74"/>
      <c r="J224" s="74"/>
      <c r="K224" s="74"/>
      <c r="L224" s="74"/>
      <c r="M224" s="74"/>
      <c r="N224" s="74"/>
      <c r="O224" s="74"/>
    </row>
    <row r="225" spans="2:15" s="14" customFormat="1">
      <c r="B225" s="74"/>
      <c r="C225" s="74"/>
      <c r="D225" s="74"/>
      <c r="E225" s="74"/>
      <c r="F225" s="74"/>
      <c r="G225" s="74"/>
      <c r="H225" s="74"/>
      <c r="I225" s="74"/>
      <c r="J225" s="74"/>
      <c r="K225" s="74"/>
      <c r="L225" s="74"/>
      <c r="M225" s="74"/>
      <c r="N225" s="74"/>
      <c r="O225" s="74"/>
    </row>
    <row r="226" spans="2:15" s="14" customFormat="1">
      <c r="B226" s="74"/>
      <c r="C226" s="74"/>
      <c r="D226" s="74"/>
      <c r="E226" s="74"/>
      <c r="F226" s="74"/>
      <c r="G226" s="74"/>
      <c r="H226" s="74"/>
      <c r="I226" s="74"/>
      <c r="J226" s="74"/>
      <c r="K226" s="74"/>
      <c r="L226" s="74"/>
      <c r="M226" s="74"/>
      <c r="N226" s="74"/>
      <c r="O226" s="74"/>
    </row>
    <row r="227" spans="2:15" s="14" customFormat="1">
      <c r="B227" s="74"/>
      <c r="C227" s="74"/>
      <c r="D227" s="74"/>
      <c r="E227" s="74"/>
      <c r="F227" s="74"/>
      <c r="G227" s="74"/>
      <c r="H227" s="74"/>
      <c r="I227" s="74"/>
      <c r="J227" s="74"/>
      <c r="K227" s="74"/>
      <c r="L227" s="74"/>
      <c r="M227" s="74"/>
      <c r="N227" s="74"/>
      <c r="O227" s="74"/>
    </row>
    <row r="228" spans="2:15" s="14" customFormat="1">
      <c r="B228" s="74"/>
      <c r="C228" s="74"/>
      <c r="D228" s="74"/>
      <c r="E228" s="74"/>
      <c r="F228" s="74"/>
      <c r="G228" s="74"/>
      <c r="H228" s="74"/>
      <c r="I228" s="74"/>
      <c r="J228" s="74"/>
      <c r="K228" s="74"/>
      <c r="L228" s="74"/>
      <c r="M228" s="74"/>
      <c r="N228" s="74"/>
      <c r="O228" s="74"/>
    </row>
    <row r="229" spans="2:15" s="14" customFormat="1">
      <c r="B229" s="74"/>
      <c r="C229" s="74"/>
      <c r="D229" s="74"/>
      <c r="E229" s="74"/>
      <c r="F229" s="74"/>
      <c r="G229" s="74"/>
      <c r="H229" s="74"/>
      <c r="I229" s="74"/>
      <c r="J229" s="74"/>
      <c r="K229" s="74"/>
      <c r="L229" s="74"/>
      <c r="M229" s="74"/>
      <c r="N229" s="74"/>
      <c r="O229" s="74"/>
    </row>
    <row r="230" spans="2:15" s="14" customFormat="1">
      <c r="B230" s="29"/>
      <c r="C230" s="74"/>
      <c r="D230" s="74"/>
      <c r="E230" s="74"/>
      <c r="F230" s="74"/>
      <c r="G230" s="74"/>
      <c r="H230" s="74"/>
      <c r="I230" s="74"/>
      <c r="J230" s="74"/>
      <c r="K230" s="74"/>
      <c r="L230" s="74"/>
      <c r="M230" s="74"/>
      <c r="N230" s="74"/>
      <c r="O230" s="74"/>
    </row>
    <row r="231" spans="2:15" s="14" customFormat="1">
      <c r="B231" s="74"/>
      <c r="C231" s="74"/>
      <c r="D231" s="74"/>
      <c r="E231" s="74"/>
      <c r="F231" s="74"/>
      <c r="G231" s="74"/>
      <c r="H231" s="74"/>
      <c r="I231" s="74"/>
      <c r="J231" s="74"/>
      <c r="K231" s="74"/>
      <c r="L231" s="74"/>
      <c r="M231" s="74"/>
      <c r="N231" s="74"/>
      <c r="O231" s="74"/>
    </row>
    <row r="232" spans="2:15" s="14" customFormat="1">
      <c r="B232" s="74"/>
      <c r="C232" s="74"/>
      <c r="D232" s="74"/>
      <c r="E232" s="74"/>
      <c r="F232" s="74"/>
      <c r="G232" s="74"/>
      <c r="H232" s="74"/>
      <c r="I232" s="74"/>
      <c r="J232" s="74"/>
      <c r="K232" s="74"/>
      <c r="L232" s="74"/>
      <c r="M232" s="74"/>
      <c r="N232" s="74"/>
      <c r="O232" s="74"/>
    </row>
    <row r="233" spans="2:15" s="14" customFormat="1">
      <c r="B233" s="74"/>
      <c r="C233" s="74"/>
      <c r="D233" s="74"/>
      <c r="E233" s="74"/>
      <c r="F233" s="74"/>
      <c r="G233" s="74"/>
      <c r="H233" s="74"/>
      <c r="I233" s="74"/>
      <c r="J233" s="74"/>
      <c r="K233" s="74"/>
      <c r="L233" s="74"/>
      <c r="M233" s="74"/>
      <c r="N233" s="74"/>
      <c r="O233" s="74"/>
    </row>
    <row r="234" spans="2:15" s="14" customFormat="1">
      <c r="B234" s="74"/>
      <c r="C234" s="74"/>
      <c r="D234" s="74"/>
      <c r="E234" s="74"/>
      <c r="F234" s="74"/>
      <c r="G234" s="74"/>
      <c r="H234" s="74"/>
      <c r="I234" s="74"/>
      <c r="J234" s="74"/>
      <c r="K234" s="74"/>
      <c r="L234" s="74"/>
      <c r="M234" s="74"/>
      <c r="N234" s="74"/>
      <c r="O234" s="74"/>
    </row>
    <row r="235" spans="2:15" s="14" customFormat="1">
      <c r="B235" s="74"/>
      <c r="C235" s="74"/>
      <c r="D235" s="74"/>
      <c r="E235" s="74"/>
      <c r="F235" s="74"/>
      <c r="G235" s="74"/>
      <c r="H235" s="74"/>
      <c r="I235" s="74"/>
      <c r="J235" s="74"/>
      <c r="K235" s="74"/>
      <c r="L235" s="74"/>
      <c r="M235" s="74"/>
      <c r="N235" s="74"/>
      <c r="O235" s="74"/>
    </row>
    <row r="236" spans="2:15" s="14" customFormat="1">
      <c r="B236" s="74"/>
      <c r="C236" s="74"/>
      <c r="D236" s="74"/>
      <c r="E236" s="74"/>
      <c r="F236" s="74"/>
      <c r="G236" s="74"/>
      <c r="H236" s="74"/>
      <c r="I236" s="74"/>
      <c r="J236" s="74"/>
      <c r="K236" s="74"/>
      <c r="L236" s="74"/>
      <c r="M236" s="74"/>
      <c r="N236" s="74"/>
      <c r="O236" s="74"/>
    </row>
    <row r="237" spans="2:15" s="14" customFormat="1">
      <c r="B237" s="74"/>
      <c r="C237" s="74"/>
      <c r="D237" s="74"/>
      <c r="E237" s="74"/>
      <c r="F237" s="74"/>
      <c r="G237" s="74"/>
      <c r="H237" s="74"/>
      <c r="I237" s="74"/>
      <c r="J237" s="74"/>
      <c r="K237" s="74"/>
      <c r="L237" s="74"/>
      <c r="M237" s="74"/>
      <c r="N237" s="74"/>
      <c r="O237" s="74"/>
    </row>
    <row r="238" spans="2:15" s="14" customFormat="1">
      <c r="B238" s="74"/>
      <c r="C238" s="74"/>
      <c r="D238" s="74"/>
      <c r="E238" s="74"/>
      <c r="F238" s="74"/>
      <c r="G238" s="74"/>
      <c r="H238" s="74"/>
      <c r="I238" s="74"/>
      <c r="J238" s="74"/>
      <c r="K238" s="74"/>
      <c r="L238" s="74"/>
      <c r="M238" s="74"/>
      <c r="N238" s="74"/>
      <c r="O238" s="74"/>
    </row>
    <row r="239" spans="2:15" s="14" customFormat="1"/>
    <row r="240" spans="2:15" s="14" customFormat="1"/>
    <row r="241" spans="2:15" s="14" customFormat="1"/>
    <row r="242" spans="2:15" s="14" customFormat="1">
      <c r="B242" s="122"/>
    </row>
    <row r="243" spans="2:15" s="14" customFormat="1">
      <c r="B243" s="15"/>
      <c r="C243" s="15"/>
      <c r="D243" s="15"/>
      <c r="E243" s="15"/>
      <c r="F243" s="15"/>
      <c r="G243" s="15"/>
      <c r="H243" s="15"/>
      <c r="I243" s="15"/>
      <c r="J243" s="15"/>
      <c r="K243" s="15"/>
      <c r="L243" s="15"/>
      <c r="M243" s="15"/>
      <c r="N243" s="15"/>
      <c r="O243" s="15"/>
    </row>
    <row r="244" spans="2:15" s="14" customFormat="1">
      <c r="C244" s="15"/>
      <c r="D244" s="15"/>
      <c r="E244" s="15"/>
      <c r="F244" s="15"/>
      <c r="G244" s="15"/>
      <c r="H244" s="15"/>
      <c r="I244" s="15"/>
      <c r="J244" s="15"/>
      <c r="K244" s="15"/>
      <c r="L244" s="15"/>
      <c r="M244" s="15"/>
      <c r="N244" s="15"/>
      <c r="O244" s="15"/>
    </row>
    <row r="245" spans="2:15" s="14" customFormat="1">
      <c r="D245" s="15"/>
      <c r="E245" s="15"/>
      <c r="F245" s="15"/>
      <c r="G245" s="15"/>
      <c r="H245" s="15"/>
      <c r="I245" s="15"/>
      <c r="J245" s="15"/>
      <c r="K245" s="15"/>
      <c r="L245" s="15"/>
      <c r="M245" s="15"/>
      <c r="N245" s="15"/>
      <c r="O245" s="15"/>
    </row>
    <row r="246" spans="2:15" s="14" customFormat="1">
      <c r="E246" s="15"/>
      <c r="F246" s="15"/>
      <c r="G246" s="15"/>
      <c r="H246" s="15"/>
      <c r="I246" s="15"/>
      <c r="J246" s="15"/>
      <c r="K246" s="15"/>
      <c r="L246" s="15"/>
      <c r="M246" s="15"/>
      <c r="N246" s="15"/>
      <c r="O246" s="15"/>
    </row>
    <row r="247" spans="2:15" s="14" customFormat="1">
      <c r="F247" s="15"/>
      <c r="G247" s="15"/>
      <c r="H247" s="15"/>
      <c r="I247" s="15"/>
      <c r="J247" s="15"/>
      <c r="K247" s="15"/>
      <c r="L247" s="15"/>
      <c r="M247" s="15"/>
      <c r="N247" s="15"/>
      <c r="O247" s="15"/>
    </row>
    <row r="248" spans="2:15" s="14" customFormat="1">
      <c r="G248" s="15"/>
      <c r="H248" s="15"/>
      <c r="I248" s="15"/>
      <c r="J248" s="15"/>
      <c r="K248" s="15"/>
      <c r="L248" s="15"/>
      <c r="M248" s="15"/>
      <c r="N248" s="15"/>
      <c r="O248" s="15"/>
    </row>
    <row r="249" spans="2:15" s="14" customFormat="1">
      <c r="H249" s="15"/>
      <c r="I249" s="15"/>
      <c r="J249" s="15"/>
      <c r="K249" s="15"/>
      <c r="L249" s="15"/>
      <c r="M249" s="15"/>
      <c r="N249" s="15"/>
      <c r="O249" s="15"/>
    </row>
    <row r="250" spans="2:15" s="14" customFormat="1">
      <c r="I250" s="15"/>
      <c r="J250" s="15"/>
      <c r="K250" s="15"/>
      <c r="L250" s="15"/>
      <c r="M250" s="15"/>
      <c r="N250" s="15"/>
      <c r="O250" s="15"/>
    </row>
    <row r="251" spans="2:15" s="14" customFormat="1">
      <c r="J251" s="15"/>
      <c r="K251" s="15"/>
      <c r="L251" s="15"/>
      <c r="M251" s="15"/>
      <c r="N251" s="15"/>
      <c r="O251" s="15"/>
    </row>
    <row r="252" spans="2:15" s="14" customFormat="1">
      <c r="K252" s="15"/>
      <c r="L252" s="15"/>
      <c r="M252" s="15"/>
      <c r="N252" s="15"/>
      <c r="O252" s="15"/>
    </row>
    <row r="253" spans="2:15" s="14" customFormat="1">
      <c r="B253" s="15"/>
      <c r="C253" s="15"/>
      <c r="D253" s="15"/>
      <c r="E253" s="15"/>
      <c r="F253" s="15"/>
      <c r="G253" s="15"/>
      <c r="H253" s="15"/>
      <c r="I253" s="15"/>
      <c r="L253" s="15"/>
      <c r="M253" s="15"/>
      <c r="N253" s="15"/>
      <c r="O253" s="15"/>
    </row>
    <row r="254" spans="2:15" s="14" customFormat="1">
      <c r="C254" s="15"/>
      <c r="D254" s="15"/>
      <c r="E254" s="15"/>
      <c r="F254" s="15"/>
      <c r="G254" s="15"/>
      <c r="H254" s="15"/>
      <c r="I254" s="15"/>
      <c r="M254" s="15"/>
      <c r="N254" s="15"/>
      <c r="O254" s="15"/>
    </row>
    <row r="255" spans="2:15" s="14" customFormat="1">
      <c r="D255" s="15"/>
      <c r="E255" s="15"/>
      <c r="F255" s="15"/>
      <c r="G255" s="15"/>
      <c r="H255" s="15"/>
      <c r="I255" s="15"/>
      <c r="N255" s="15"/>
      <c r="O255" s="15"/>
    </row>
    <row r="256" spans="2:15" s="14" customFormat="1">
      <c r="E256" s="15"/>
      <c r="F256" s="15"/>
      <c r="G256" s="15"/>
      <c r="H256" s="15"/>
      <c r="I256" s="15"/>
    </row>
    <row r="257" spans="2:14" s="14" customFormat="1">
      <c r="F257" s="15"/>
      <c r="G257" s="15"/>
      <c r="H257" s="15"/>
      <c r="I257" s="15"/>
    </row>
    <row r="258" spans="2:14" s="14" customFormat="1">
      <c r="G258" s="15"/>
      <c r="H258" s="15"/>
      <c r="I258" s="15"/>
    </row>
    <row r="259" spans="2:14" s="14" customFormat="1">
      <c r="H259" s="15"/>
      <c r="I259" s="15"/>
    </row>
    <row r="260" spans="2:14" s="14" customFormat="1">
      <c r="I260" s="15"/>
    </row>
    <row r="261" spans="2:14" s="14" customFormat="1"/>
    <row r="262" spans="2:14" s="14" customFormat="1">
      <c r="B262" s="15"/>
      <c r="C262" s="15"/>
      <c r="D262" s="15"/>
      <c r="E262" s="15"/>
      <c r="F262" s="15"/>
      <c r="G262" s="15"/>
      <c r="H262" s="15"/>
      <c r="I262" s="15"/>
      <c r="J262" s="15"/>
      <c r="K262" s="15"/>
      <c r="L262" s="15"/>
      <c r="M262" s="15"/>
      <c r="N262" s="15"/>
    </row>
    <row r="263" spans="2:14" s="14" customFormat="1">
      <c r="C263" s="15"/>
      <c r="D263" s="15"/>
      <c r="E263" s="15"/>
      <c r="F263" s="15"/>
      <c r="G263" s="15"/>
      <c r="H263" s="15"/>
      <c r="I263" s="15"/>
      <c r="J263" s="15"/>
      <c r="K263" s="15"/>
      <c r="L263" s="15"/>
      <c r="M263" s="15"/>
      <c r="N263" s="15"/>
    </row>
    <row r="264" spans="2:14" s="14" customFormat="1">
      <c r="D264" s="15"/>
      <c r="E264" s="15"/>
      <c r="F264" s="15"/>
      <c r="G264" s="15"/>
      <c r="H264" s="15"/>
      <c r="I264" s="15"/>
      <c r="J264" s="15"/>
      <c r="K264" s="15"/>
      <c r="L264" s="15"/>
      <c r="M264" s="15"/>
      <c r="N264" s="15"/>
    </row>
    <row r="265" spans="2:14" s="14" customFormat="1">
      <c r="E265" s="15"/>
      <c r="F265" s="15"/>
      <c r="G265" s="15"/>
      <c r="H265" s="15"/>
      <c r="I265" s="15"/>
      <c r="J265" s="15"/>
      <c r="K265" s="15"/>
      <c r="L265" s="15"/>
      <c r="M265" s="15"/>
      <c r="N265" s="15"/>
    </row>
    <row r="266" spans="2:14" s="14" customFormat="1">
      <c r="F266" s="15"/>
      <c r="G266" s="15"/>
      <c r="H266" s="15"/>
      <c r="I266" s="15"/>
      <c r="J266" s="15"/>
      <c r="K266" s="15"/>
      <c r="L266" s="15"/>
      <c r="M266" s="15"/>
      <c r="N266" s="15"/>
    </row>
    <row r="267" spans="2:14" s="14" customFormat="1">
      <c r="G267" s="15"/>
      <c r="H267" s="15"/>
      <c r="I267" s="15"/>
      <c r="J267" s="15"/>
      <c r="K267" s="15"/>
      <c r="L267" s="15"/>
      <c r="M267" s="15"/>
      <c r="N267" s="15"/>
    </row>
    <row r="268" spans="2:14" s="14" customFormat="1">
      <c r="H268" s="15"/>
      <c r="I268" s="15"/>
      <c r="J268" s="15"/>
      <c r="K268" s="15"/>
      <c r="L268" s="15"/>
      <c r="M268" s="15"/>
      <c r="N268" s="15"/>
    </row>
    <row r="269" spans="2:14" s="14" customFormat="1">
      <c r="I269" s="15"/>
      <c r="J269" s="15"/>
      <c r="K269" s="15"/>
      <c r="L269" s="15"/>
      <c r="M269" s="15"/>
      <c r="N269" s="15"/>
    </row>
    <row r="270" spans="2:14" s="14" customFormat="1">
      <c r="J270" s="15"/>
      <c r="K270" s="15"/>
      <c r="L270" s="15"/>
      <c r="M270" s="15"/>
      <c r="N270" s="15"/>
    </row>
    <row r="271" spans="2:14" s="14" customFormat="1">
      <c r="K271" s="15"/>
      <c r="L271" s="15"/>
      <c r="M271" s="15"/>
      <c r="N271" s="15"/>
    </row>
    <row r="272" spans="2:14" s="14" customFormat="1">
      <c r="L272" s="15"/>
      <c r="M272" s="15"/>
      <c r="N272" s="15"/>
    </row>
    <row r="273" spans="2:14" s="14" customFormat="1">
      <c r="M273" s="15"/>
      <c r="N273" s="15"/>
    </row>
    <row r="274" spans="2:14" s="14" customFormat="1">
      <c r="N274" s="15"/>
    </row>
    <row r="275" spans="2:14" s="14" customFormat="1">
      <c r="N275" s="15"/>
    </row>
    <row r="276" spans="2:14" s="14" customFormat="1"/>
    <row r="277" spans="2:14" s="14" customFormat="1">
      <c r="B277" s="15"/>
      <c r="C277" s="15"/>
      <c r="D277" s="15"/>
      <c r="E277" s="15"/>
      <c r="F277" s="15"/>
      <c r="G277" s="15"/>
      <c r="H277" s="15"/>
      <c r="I277" s="15"/>
      <c r="J277" s="15"/>
      <c r="K277" s="15"/>
      <c r="L277" s="15"/>
      <c r="M277" s="15"/>
      <c r="N277" s="15"/>
    </row>
    <row r="278" spans="2:14" s="14" customFormat="1">
      <c r="B278" s="15"/>
      <c r="C278" s="15"/>
      <c r="D278" s="15"/>
      <c r="E278" s="15"/>
      <c r="F278" s="15"/>
      <c r="G278" s="15"/>
      <c r="H278" s="15"/>
      <c r="I278" s="15"/>
      <c r="J278" s="15"/>
      <c r="K278" s="15"/>
      <c r="L278" s="15"/>
      <c r="M278" s="15"/>
      <c r="N278" s="15"/>
    </row>
    <row r="279" spans="2:14" s="14" customFormat="1">
      <c r="B279" s="15"/>
      <c r="C279" s="15"/>
      <c r="D279" s="15"/>
      <c r="E279" s="15"/>
      <c r="F279" s="15"/>
      <c r="G279" s="15"/>
      <c r="H279" s="15"/>
      <c r="I279" s="15"/>
      <c r="J279" s="15"/>
      <c r="K279" s="15"/>
      <c r="L279" s="15"/>
      <c r="M279" s="15"/>
      <c r="N279" s="15"/>
    </row>
    <row r="280" spans="2:14" s="14" customFormat="1">
      <c r="B280" s="15"/>
      <c r="C280" s="15"/>
      <c r="D280" s="15"/>
      <c r="E280" s="15"/>
      <c r="F280" s="15"/>
      <c r="G280" s="15"/>
      <c r="H280" s="15"/>
      <c r="I280" s="15"/>
      <c r="J280" s="15"/>
      <c r="K280" s="15"/>
      <c r="L280" s="15"/>
      <c r="M280" s="15"/>
      <c r="N280" s="15"/>
    </row>
    <row r="281" spans="2:14" s="14" customFormat="1">
      <c r="B281" s="15"/>
      <c r="C281" s="15"/>
      <c r="D281" s="15"/>
      <c r="E281" s="15"/>
      <c r="F281" s="15"/>
      <c r="G281" s="15"/>
      <c r="H281" s="15"/>
      <c r="I281" s="15"/>
      <c r="J281" s="15"/>
      <c r="K281" s="15"/>
      <c r="L281" s="15"/>
      <c r="M281" s="15"/>
      <c r="N281" s="15"/>
    </row>
    <row r="282" spans="2:14" s="14" customFormat="1">
      <c r="B282" s="15"/>
      <c r="C282" s="15"/>
      <c r="D282" s="15"/>
      <c r="E282" s="15"/>
      <c r="F282" s="15"/>
      <c r="G282" s="15"/>
      <c r="H282" s="15"/>
      <c r="I282" s="15"/>
      <c r="J282" s="15"/>
      <c r="K282" s="15"/>
      <c r="L282" s="15"/>
      <c r="M282" s="15"/>
      <c r="N282" s="15"/>
    </row>
    <row r="283" spans="2:14" s="14" customFormat="1">
      <c r="B283" s="15"/>
      <c r="C283" s="15"/>
      <c r="D283" s="15"/>
      <c r="E283" s="15"/>
      <c r="F283" s="15"/>
      <c r="G283" s="15"/>
      <c r="H283" s="15"/>
      <c r="I283" s="15"/>
      <c r="J283" s="15"/>
      <c r="K283" s="15"/>
      <c r="L283" s="15"/>
      <c r="M283" s="15"/>
      <c r="N283" s="15"/>
    </row>
    <row r="284" spans="2:14" s="14" customFormat="1">
      <c r="B284" s="15"/>
      <c r="C284" s="15"/>
      <c r="D284" s="15"/>
      <c r="E284" s="15"/>
      <c r="F284" s="15"/>
      <c r="G284" s="15"/>
      <c r="H284" s="15"/>
      <c r="I284" s="15"/>
      <c r="J284" s="15"/>
      <c r="K284" s="15"/>
      <c r="L284" s="15"/>
      <c r="M284" s="15"/>
      <c r="N284" s="15"/>
    </row>
    <row r="285" spans="2:14" s="14" customFormat="1">
      <c r="B285" s="15"/>
      <c r="C285" s="15"/>
      <c r="D285" s="15"/>
      <c r="E285" s="15"/>
      <c r="F285" s="15"/>
      <c r="G285" s="15"/>
      <c r="H285" s="15"/>
      <c r="I285" s="15"/>
      <c r="J285" s="15"/>
      <c r="K285" s="15"/>
      <c r="L285" s="15"/>
      <c r="M285" s="15"/>
      <c r="N285" s="15"/>
    </row>
    <row r="286" spans="2:14" s="14" customFormat="1">
      <c r="B286" s="15"/>
      <c r="C286" s="15"/>
      <c r="D286" s="15"/>
      <c r="E286" s="15"/>
      <c r="F286" s="15"/>
      <c r="G286" s="15"/>
      <c r="H286" s="15"/>
      <c r="I286" s="15"/>
      <c r="J286" s="15"/>
      <c r="K286" s="15"/>
      <c r="L286" s="15"/>
      <c r="M286" s="15"/>
      <c r="N286" s="15"/>
    </row>
    <row r="287" spans="2:14" s="14" customFormat="1">
      <c r="B287" s="15"/>
      <c r="C287" s="15"/>
      <c r="D287" s="15"/>
      <c r="E287" s="15"/>
      <c r="F287" s="15"/>
      <c r="G287" s="15"/>
      <c r="H287" s="15"/>
      <c r="I287" s="15"/>
      <c r="J287" s="15"/>
      <c r="K287" s="15"/>
      <c r="L287" s="15"/>
      <c r="M287" s="15"/>
      <c r="N287" s="15"/>
    </row>
    <row r="288" spans="2:14" s="14" customFormat="1">
      <c r="B288" s="15"/>
      <c r="C288" s="15"/>
      <c r="D288" s="15"/>
      <c r="E288" s="15"/>
      <c r="F288" s="15"/>
      <c r="G288" s="15"/>
      <c r="H288" s="15"/>
      <c r="I288" s="15"/>
      <c r="J288" s="15"/>
      <c r="K288" s="15"/>
      <c r="L288" s="15"/>
      <c r="M288" s="15"/>
      <c r="N288" s="15"/>
    </row>
    <row r="289" spans="2:14" s="14" customFormat="1">
      <c r="B289" s="15"/>
      <c r="C289" s="15"/>
      <c r="D289" s="15"/>
      <c r="E289" s="15"/>
      <c r="F289" s="15"/>
      <c r="G289" s="15"/>
      <c r="H289" s="15"/>
      <c r="I289" s="15"/>
      <c r="J289" s="15"/>
      <c r="K289" s="15"/>
      <c r="L289" s="15"/>
      <c r="M289" s="15"/>
      <c r="N289" s="15"/>
    </row>
    <row r="290" spans="2:14" s="14" customFormat="1"/>
    <row r="291" spans="2:14" s="14" customFormat="1"/>
    <row r="292" spans="2:14" s="14" customFormat="1"/>
    <row r="293" spans="2:14" s="14" customFormat="1"/>
    <row r="294" spans="2:14" s="14" customFormat="1"/>
    <row r="295" spans="2:14" s="14" customFormat="1"/>
    <row r="296" spans="2:14" s="14" customFormat="1"/>
  </sheetData>
  <phoneticPr fontId="2"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dimension ref="A1:H24"/>
  <sheetViews>
    <sheetView workbookViewId="0"/>
  </sheetViews>
  <sheetFormatPr defaultColWidth="7.109375" defaultRowHeight="12.75"/>
  <cols>
    <col min="1" max="1" width="45.6640625" style="316" customWidth="1"/>
    <col min="2" max="2" width="14.33203125" style="316" customWidth="1"/>
    <col min="3" max="3" width="12.88671875" style="316" customWidth="1"/>
    <col min="4" max="4" width="9.21875" style="316" customWidth="1"/>
    <col min="5" max="5" width="9.88671875" style="316" customWidth="1"/>
    <col min="6" max="7" width="11.6640625" style="316" customWidth="1"/>
    <col min="8" max="8" width="10.77734375" style="316" customWidth="1"/>
    <col min="9" max="9" width="11.21875" style="316" customWidth="1"/>
    <col min="10" max="16384" width="7.109375" style="316"/>
  </cols>
  <sheetData>
    <row r="1" spans="1:8">
      <c r="A1" s="315" t="s">
        <v>187</v>
      </c>
      <c r="F1" s="317"/>
      <c r="G1" s="317"/>
    </row>
    <row r="2" spans="1:8">
      <c r="A2" s="318" t="s">
        <v>188</v>
      </c>
      <c r="B2" s="327" t="s">
        <v>209</v>
      </c>
      <c r="C2" s="319"/>
    </row>
    <row r="3" spans="1:8">
      <c r="A3" s="324" t="s">
        <v>203</v>
      </c>
      <c r="B3" s="329">
        <v>12</v>
      </c>
      <c r="C3" s="319">
        <v>1</v>
      </c>
    </row>
    <row r="4" spans="1:8">
      <c r="A4" s="328" t="s">
        <v>202</v>
      </c>
      <c r="B4" s="316">
        <v>12</v>
      </c>
      <c r="C4" s="316">
        <v>1</v>
      </c>
    </row>
    <row r="5" spans="1:8">
      <c r="A5" s="316" t="s">
        <v>189</v>
      </c>
      <c r="B5" s="317">
        <v>10229000</v>
      </c>
      <c r="C5" s="317">
        <f>B5</f>
        <v>10229000</v>
      </c>
      <c r="D5" s="317"/>
      <c r="E5" s="317"/>
      <c r="F5" s="317"/>
      <c r="G5" s="320"/>
      <c r="H5" s="320"/>
    </row>
    <row r="6" spans="1:8">
      <c r="A6" s="316" t="s">
        <v>190</v>
      </c>
      <c r="B6" s="317">
        <v>6068000</v>
      </c>
      <c r="C6" s="317">
        <f>B6</f>
        <v>6068000</v>
      </c>
      <c r="D6" s="317"/>
      <c r="E6" s="317"/>
      <c r="F6" s="317"/>
      <c r="G6" s="320"/>
      <c r="H6" s="320"/>
    </row>
    <row r="7" spans="1:8">
      <c r="A7" s="316" t="s">
        <v>191</v>
      </c>
      <c r="B7" s="321">
        <v>7.4999999999999997E-3</v>
      </c>
      <c r="C7" s="321">
        <f>(1+B7)^B4-1</f>
        <v>9.3806897670984268E-2</v>
      </c>
      <c r="D7" s="322"/>
      <c r="E7" s="322"/>
      <c r="F7" s="322"/>
      <c r="G7" s="322"/>
      <c r="H7" s="322"/>
    </row>
    <row r="8" spans="1:8">
      <c r="A8" s="316" t="s">
        <v>192</v>
      </c>
      <c r="B8" s="322">
        <v>2.5000000000000001E-3</v>
      </c>
      <c r="C8" s="321">
        <f>(1+B8)^B4-1</f>
        <v>3.0415956913506736E-2</v>
      </c>
      <c r="D8" s="322"/>
      <c r="E8" s="322"/>
      <c r="F8" s="322"/>
      <c r="G8" s="322"/>
      <c r="H8" s="322"/>
    </row>
    <row r="9" spans="1:8" s="323" customFormat="1"/>
    <row r="10" spans="1:8">
      <c r="A10" s="318" t="s">
        <v>193</v>
      </c>
      <c r="B10" s="322"/>
      <c r="C10" s="322"/>
      <c r="D10" s="322"/>
      <c r="F10" s="322"/>
      <c r="G10" s="322"/>
      <c r="H10" s="322"/>
    </row>
    <row r="11" spans="1:8">
      <c r="A11" s="324" t="s">
        <v>194</v>
      </c>
      <c r="B11" s="317">
        <f>B5/(1+B7)^B4</f>
        <v>9351742.0869994089</v>
      </c>
      <c r="C11" s="317">
        <f>C5/(1+C7)^C4</f>
        <v>9351742.0869994089</v>
      </c>
      <c r="D11" s="317"/>
      <c r="E11" s="317"/>
      <c r="F11" s="317"/>
      <c r="G11" s="320"/>
      <c r="H11" s="320"/>
    </row>
    <row r="12" spans="1:8">
      <c r="A12" s="324" t="s">
        <v>195</v>
      </c>
      <c r="B12" s="317">
        <f>B6/(1+B8)^B4</f>
        <v>5888883.9592274958</v>
      </c>
      <c r="C12" s="317">
        <f>C6/(1+C8)^C4</f>
        <v>5888883.9592274958</v>
      </c>
      <c r="D12" s="317"/>
      <c r="E12" s="317"/>
      <c r="F12" s="317"/>
      <c r="G12" s="320"/>
      <c r="H12" s="320"/>
    </row>
    <row r="13" spans="1:8">
      <c r="A13" s="324" t="s">
        <v>196</v>
      </c>
      <c r="B13" s="317">
        <f>B11-B12</f>
        <v>3462858.1277719131</v>
      </c>
      <c r="C13" s="317">
        <f>C11-C12</f>
        <v>3462858.1277719131</v>
      </c>
      <c r="D13" s="317"/>
      <c r="E13" s="317"/>
      <c r="F13" s="317"/>
      <c r="G13" s="320"/>
      <c r="H13" s="320"/>
    </row>
    <row r="14" spans="1:8">
      <c r="A14" s="318"/>
      <c r="B14" s="322"/>
      <c r="C14" s="322"/>
      <c r="D14" s="322"/>
      <c r="F14" s="322"/>
      <c r="G14" s="322"/>
      <c r="H14" s="322"/>
    </row>
    <row r="15" spans="1:8">
      <c r="A15" s="328" t="s">
        <v>207</v>
      </c>
      <c r="B15" s="322">
        <f>((B5-B6)*(1+B7)^B4*(1+B8)^B4/((1+B8)^B4*B5-(1+B7)^B4*B6))^(1/B4)-1</f>
        <v>1.5422817230101193E-2</v>
      </c>
      <c r="C15" s="322">
        <f>((C5-C6)*(1+C7)^C4*(1+C8)^C4/((1+C8)^C4*C5-(1+C7)^C4*C6))^(1/C4)-1</f>
        <v>0.20160856912647662</v>
      </c>
      <c r="D15" s="322"/>
      <c r="E15" s="322"/>
      <c r="F15" s="322"/>
      <c r="G15" s="322"/>
      <c r="H15" s="322"/>
    </row>
    <row r="16" spans="1:8">
      <c r="A16" s="328" t="s">
        <v>200</v>
      </c>
      <c r="B16" s="322">
        <f>(1+B15)^B3-1</f>
        <v>0.20160856912647618</v>
      </c>
      <c r="C16" s="322">
        <f>(1+C15)^C3-1</f>
        <v>0.20160856912647662</v>
      </c>
      <c r="D16" s="322"/>
      <c r="E16" s="322"/>
      <c r="F16" s="322"/>
      <c r="G16" s="322"/>
      <c r="H16" s="322"/>
    </row>
    <row r="17" spans="1:8">
      <c r="A17" s="330" t="s">
        <v>208</v>
      </c>
      <c r="B17" s="322">
        <f>B8+(B7-B8)*(B11/(B11-B12))</f>
        <v>1.6002924090361949E-2</v>
      </c>
      <c r="C17" s="322">
        <f>C8+(C7-C8)*(C11/(C11-C12))</f>
        <v>0.20160856912647684</v>
      </c>
      <c r="D17" s="322"/>
      <c r="E17" s="322"/>
      <c r="F17" s="322"/>
      <c r="G17" s="322"/>
      <c r="H17" s="322"/>
    </row>
    <row r="18" spans="1:8">
      <c r="B18" s="322"/>
    </row>
    <row r="19" spans="1:8">
      <c r="A19" s="323" t="s">
        <v>197</v>
      </c>
      <c r="B19" s="317">
        <f>B5/(1+B7)^B4-B6/(1+B8)^B4</f>
        <v>3462858.1277719131</v>
      </c>
      <c r="C19" s="317">
        <f>C5/(1+C7)^C4-C6/(1+C8)^C4</f>
        <v>3462858.1277719131</v>
      </c>
      <c r="D19" s="317"/>
      <c r="E19" s="317"/>
      <c r="F19" s="317"/>
      <c r="G19" s="320"/>
      <c r="H19" s="320"/>
    </row>
    <row r="20" spans="1:8">
      <c r="A20" s="325" t="s">
        <v>198</v>
      </c>
      <c r="B20" s="317">
        <f>(B5-B6)/(1+B15)^B4</f>
        <v>3462858.1277719159</v>
      </c>
      <c r="C20" s="317">
        <f>(C5-C6)/(1+C15)^C4</f>
        <v>3462858.1277719145</v>
      </c>
      <c r="D20" s="317"/>
      <c r="E20" s="317"/>
      <c r="F20" s="317"/>
      <c r="G20" s="320"/>
      <c r="H20" s="320"/>
    </row>
    <row r="21" spans="1:8">
      <c r="A21" s="326"/>
    </row>
    <row r="22" spans="1:8">
      <c r="A22" s="328" t="s">
        <v>201</v>
      </c>
    </row>
    <row r="24" spans="1:8">
      <c r="A24" s="316" t="s">
        <v>199</v>
      </c>
    </row>
  </sheetData>
  <phoneticPr fontId="13" type="noConversion"/>
  <pageMargins left="0.75" right="0.75" top="1" bottom="1" header="0.5" footer="0.5"/>
  <pageSetup orientation="portrait" r:id="rId1"/>
  <headerFooter alignWithMargins="0"/>
  <legacyDrawing r:id="rId2"/>
  <oleObjects>
    <oleObject progId="Equation.3" shapeId="20481" r:id="rId3"/>
  </oleObjects>
</worksheet>
</file>

<file path=xl/worksheets/sheet7.xml><?xml version="1.0" encoding="utf-8"?>
<worksheet xmlns="http://schemas.openxmlformats.org/spreadsheetml/2006/main" xmlns:r="http://schemas.openxmlformats.org/officeDocument/2006/relationships">
  <dimension ref="A1:H22"/>
  <sheetViews>
    <sheetView workbookViewId="0">
      <selection activeCell="A2" sqref="A2"/>
    </sheetView>
  </sheetViews>
  <sheetFormatPr defaultRowHeight="15"/>
  <cols>
    <col min="1" max="1" width="20.109375" customWidth="1"/>
    <col min="2" max="2" width="13.44140625" bestFit="1" customWidth="1"/>
  </cols>
  <sheetData>
    <row r="1" spans="1:8">
      <c r="A1" t="s">
        <v>261</v>
      </c>
    </row>
    <row r="2" spans="1:8">
      <c r="A2" s="381" t="s">
        <v>259</v>
      </c>
      <c r="B2" s="382"/>
    </row>
    <row r="3" spans="1:8">
      <c r="A3" s="382" t="s">
        <v>250</v>
      </c>
      <c r="B3" s="383">
        <f>B5*'Sam-McK Formula'!B5</f>
        <v>959.55075627649808</v>
      </c>
    </row>
    <row r="4" spans="1:8">
      <c r="A4" s="382" t="s">
        <v>246</v>
      </c>
      <c r="B4" s="384">
        <f>'Sam-McK Formula'!B5</f>
        <v>9.3806897670984268E-2</v>
      </c>
    </row>
    <row r="5" spans="1:8">
      <c r="A5" s="385" t="s">
        <v>251</v>
      </c>
      <c r="B5" s="383">
        <f>'Dvlpt OCC Estn'!C5/1000</f>
        <v>10229</v>
      </c>
    </row>
    <row r="6" spans="1:8">
      <c r="A6" s="382" t="s">
        <v>258</v>
      </c>
      <c r="B6" s="383">
        <f>'Dvlpt OCC Estn'!C6/1000</f>
        <v>6068</v>
      </c>
    </row>
    <row r="7" spans="1:8">
      <c r="A7" s="382" t="s">
        <v>247</v>
      </c>
      <c r="B7" s="386">
        <f>'Dvlpt OCC Estn'!C4</f>
        <v>1</v>
      </c>
    </row>
    <row r="8" spans="1:8">
      <c r="A8" s="387" t="s">
        <v>248</v>
      </c>
      <c r="B8" s="388">
        <f>'Dvlpt OCC Estn'!C15</f>
        <v>0.20160856912647662</v>
      </c>
    </row>
    <row r="9" spans="1:8">
      <c r="A9" s="389" t="s">
        <v>260</v>
      </c>
      <c r="B9" s="390"/>
    </row>
    <row r="10" spans="1:8">
      <c r="A10" s="391" t="s">
        <v>256</v>
      </c>
      <c r="B10" s="392">
        <f>(B5-B6)/(1+B8)^B7</f>
        <v>3462.8581277719145</v>
      </c>
    </row>
    <row r="11" spans="1:8">
      <c r="A11" s="393" t="s">
        <v>257</v>
      </c>
      <c r="B11" s="394">
        <f>B10/B5</f>
        <v>0.33853339796381998</v>
      </c>
    </row>
    <row r="12" spans="1:8" ht="15.75" thickBot="1">
      <c r="A12" s="391" t="s">
        <v>249</v>
      </c>
      <c r="B12" s="395">
        <f>B3/(B10+B6)</f>
        <v>0.10067831704266675</v>
      </c>
    </row>
    <row r="13" spans="1:8" ht="16.5" thickBot="1">
      <c r="A13" s="396" t="s">
        <v>252</v>
      </c>
      <c r="B13" s="397">
        <f>B12-B4</f>
        <v>6.8714193716824801E-3</v>
      </c>
    </row>
    <row r="15" spans="1:8">
      <c r="A15" s="36"/>
      <c r="B15" s="3" t="s">
        <v>253</v>
      </c>
      <c r="C15" s="374" t="s">
        <v>254</v>
      </c>
      <c r="F15" s="69"/>
      <c r="G15" s="2"/>
    </row>
    <row r="16" spans="1:8">
      <c r="A16" s="33"/>
      <c r="B16" s="363">
        <f>B13</f>
        <v>6.8714193716824801E-3</v>
      </c>
      <c r="C16" s="378">
        <v>1</v>
      </c>
      <c r="D16" s="376">
        <v>1.5</v>
      </c>
      <c r="E16" s="376">
        <v>2</v>
      </c>
      <c r="F16" s="377">
        <v>2.5</v>
      </c>
      <c r="G16" s="376">
        <v>3</v>
      </c>
      <c r="H16" s="376">
        <v>3.5</v>
      </c>
    </row>
    <row r="17" spans="1:8">
      <c r="A17" s="3" t="s">
        <v>255</v>
      </c>
      <c r="B17" s="37">
        <v>0.15</v>
      </c>
      <c r="C17" s="365">
        <f t="dataTable" ref="C17:H22" dt2D="1" dtr="1" r1="B7" r2="B8" ca="1"/>
        <v>5.2561741580494786E-3</v>
      </c>
      <c r="D17" s="352">
        <v>7.8184058911959092E-3</v>
      </c>
      <c r="E17" s="352">
        <v>1.0330076296178575E-2</v>
      </c>
      <c r="F17" s="379">
        <v>1.2786725214043115E-2</v>
      </c>
      <c r="G17" s="352">
        <v>1.518434788978322E-2</v>
      </c>
      <c r="H17" s="352">
        <v>1.7519410342271557E-2</v>
      </c>
    </row>
    <row r="18" spans="1:8">
      <c r="A18" s="36"/>
      <c r="B18" s="352">
        <v>0.2</v>
      </c>
      <c r="C18" s="371">
        <v>6.822409263785606E-3</v>
      </c>
      <c r="D18" s="352">
        <v>1.0115042267929322E-2</v>
      </c>
      <c r="E18" s="352">
        <v>1.3314713211024232E-2</v>
      </c>
      <c r="F18" s="379">
        <v>1.641260245084708E-2</v>
      </c>
      <c r="G18" s="352">
        <v>1.9401258135055763E-2</v>
      </c>
      <c r="H18" s="352">
        <v>2.2274617135860278E-2</v>
      </c>
    </row>
    <row r="19" spans="1:8">
      <c r="A19" s="71"/>
      <c r="B19" s="354">
        <v>0.20160856912647662</v>
      </c>
      <c r="C19" s="380">
        <v>6.8714193716824801E-3</v>
      </c>
      <c r="D19" s="352">
        <v>1.0186606154724775E-2</v>
      </c>
      <c r="E19" s="352">
        <v>1.3407249564615628E-2</v>
      </c>
      <c r="F19" s="379">
        <v>1.6524369621108453E-2</v>
      </c>
      <c r="G19" s="352">
        <v>1.9530395831334132E-2</v>
      </c>
      <c r="H19" s="352">
        <v>2.241918773751457E-2</v>
      </c>
    </row>
    <row r="20" spans="1:8">
      <c r="A20" s="73"/>
      <c r="B20" s="375">
        <v>0.25</v>
      </c>
      <c r="C20" s="371">
        <v>8.3077324452785206E-3</v>
      </c>
      <c r="D20" s="352">
        <v>1.2275090970596481E-2</v>
      </c>
      <c r="E20" s="352">
        <v>1.6094185851310672E-2</v>
      </c>
      <c r="F20" s="379">
        <v>1.9750810722009238E-2</v>
      </c>
      <c r="G20" s="352">
        <v>2.3233867718848569E-2</v>
      </c>
      <c r="H20" s="352">
        <v>2.6535335171523275E-2</v>
      </c>
    </row>
    <row r="21" spans="1:8">
      <c r="A21" s="71"/>
      <c r="B21" s="18">
        <v>0.3</v>
      </c>
      <c r="C21" s="371">
        <v>9.7182557108810158E-3</v>
      </c>
      <c r="D21" s="352">
        <v>1.4308326163056218E-2</v>
      </c>
      <c r="E21" s="352">
        <v>1.8682681773635412E-2</v>
      </c>
      <c r="F21" s="352">
        <v>2.2821337111048001E-2</v>
      </c>
      <c r="G21" s="352">
        <v>2.6710212251490992E-2</v>
      </c>
      <c r="H21" s="352">
        <v>3.0340889157619649E-2</v>
      </c>
    </row>
    <row r="22" spans="1:8">
      <c r="A22" s="71"/>
      <c r="B22" s="353">
        <v>0.35</v>
      </c>
      <c r="C22" s="371">
        <v>1.105949059509892E-2</v>
      </c>
      <c r="D22" s="352">
        <v>1.6223805999695765E-2</v>
      </c>
      <c r="E22" s="352">
        <v>2.1093844534394973E-2</v>
      </c>
      <c r="F22" s="352">
        <v>2.5644161262883255E-2</v>
      </c>
      <c r="G22" s="352">
        <v>2.9859210000622721E-2</v>
      </c>
      <c r="H22" s="352">
        <v>3.3732592526383248E-2</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dimension ref="A1:EP96"/>
  <sheetViews>
    <sheetView workbookViewId="0"/>
  </sheetViews>
  <sheetFormatPr defaultColWidth="7.109375" defaultRowHeight="12.75"/>
  <cols>
    <col min="1" max="1" width="10.5546875" style="332" customWidth="1"/>
    <col min="2" max="2" width="11.88671875" style="332" customWidth="1"/>
    <col min="3" max="3" width="7.21875" style="332" bestFit="1" customWidth="1"/>
    <col min="4" max="5" width="7.109375" style="332" customWidth="1"/>
    <col min="6" max="6" width="9" style="332" customWidth="1"/>
    <col min="7" max="7" width="7.88671875" style="332" bestFit="1" customWidth="1"/>
    <col min="8" max="13" width="7.109375" style="332" customWidth="1"/>
    <col min="14" max="14" width="8.77734375" style="332" customWidth="1"/>
    <col min="15" max="133" width="7.109375" style="332" customWidth="1"/>
    <col min="134" max="134" width="8.21875" style="332" customWidth="1"/>
    <col min="135" max="145" width="7.109375" style="332"/>
    <col min="146" max="146" width="8.109375" style="332" customWidth="1"/>
    <col min="147" max="16384" width="7.109375" style="332"/>
  </cols>
  <sheetData>
    <row r="1" spans="1:146">
      <c r="A1" s="332" t="s">
        <v>244</v>
      </c>
      <c r="E1" s="332" t="s">
        <v>210</v>
      </c>
      <c r="F1" s="332">
        <f>H7+N7</f>
        <v>10000000</v>
      </c>
    </row>
    <row r="2" spans="1:146">
      <c r="B2" s="332">
        <v>1500000</v>
      </c>
      <c r="E2" s="332" t="s">
        <v>211</v>
      </c>
      <c r="F2" s="332">
        <f>SUM(C8:N8)</f>
        <v>6000000</v>
      </c>
    </row>
    <row r="3" spans="1:146">
      <c r="B3" s="332">
        <f>10000000*0.5*(0.09/12)</f>
        <v>37500</v>
      </c>
      <c r="E3" s="332" t="s">
        <v>212</v>
      </c>
      <c r="F3" s="333">
        <f>F1/(F2+B20)</f>
        <v>1.0567374552935693</v>
      </c>
      <c r="G3" s="334">
        <f>(F1/1.2)-F2</f>
        <v>2333333.333333334</v>
      </c>
      <c r="H3" s="335" t="s">
        <v>213</v>
      </c>
    </row>
    <row r="4" spans="1:146">
      <c r="B4" s="332">
        <v>0.09</v>
      </c>
      <c r="C4" s="336">
        <f>(1+B4/12)^12-1</f>
        <v>9.3806897670984268E-2</v>
      </c>
      <c r="E4" s="332" t="s">
        <v>214</v>
      </c>
      <c r="F4" s="336">
        <f>(2*12*B3)/(SUM(C8:N8)+B20)</f>
        <v>9.5106370976421245E-2</v>
      </c>
      <c r="G4" s="332">
        <f>2*12*B3/0.1-4*B2</f>
        <v>3000000</v>
      </c>
      <c r="H4" s="335" t="s">
        <v>215</v>
      </c>
    </row>
    <row r="5" spans="1:146">
      <c r="B5" s="332">
        <v>0.03</v>
      </c>
      <c r="C5" s="336">
        <f>(1+B5/12)^12-1</f>
        <v>3.0415956913506736E-2</v>
      </c>
    </row>
    <row r="6" spans="1:146">
      <c r="C6" s="332">
        <v>1</v>
      </c>
      <c r="D6" s="332">
        <v>2</v>
      </c>
      <c r="E6" s="332">
        <v>3</v>
      </c>
      <c r="F6" s="332">
        <v>4</v>
      </c>
      <c r="G6" s="332">
        <v>5</v>
      </c>
      <c r="H6" s="332">
        <v>6</v>
      </c>
      <c r="I6" s="332">
        <v>7</v>
      </c>
      <c r="J6" s="332">
        <v>8</v>
      </c>
      <c r="K6" s="332">
        <v>9</v>
      </c>
      <c r="L6" s="332">
        <v>10</v>
      </c>
      <c r="M6" s="332">
        <v>11</v>
      </c>
      <c r="N6" s="332">
        <v>12</v>
      </c>
      <c r="O6" s="332">
        <v>1</v>
      </c>
      <c r="P6" s="332">
        <f t="shared" ref="P6:AU6" si="0">1+O6</f>
        <v>2</v>
      </c>
      <c r="Q6" s="332">
        <f t="shared" si="0"/>
        <v>3</v>
      </c>
      <c r="R6" s="332">
        <f t="shared" si="0"/>
        <v>4</v>
      </c>
      <c r="S6" s="332">
        <f t="shared" si="0"/>
        <v>5</v>
      </c>
      <c r="T6" s="332">
        <f t="shared" si="0"/>
        <v>6</v>
      </c>
      <c r="U6" s="332">
        <f t="shared" si="0"/>
        <v>7</v>
      </c>
      <c r="V6" s="332">
        <f t="shared" si="0"/>
        <v>8</v>
      </c>
      <c r="W6" s="332">
        <f t="shared" si="0"/>
        <v>9</v>
      </c>
      <c r="X6" s="332">
        <f t="shared" si="0"/>
        <v>10</v>
      </c>
      <c r="Y6" s="332">
        <f t="shared" si="0"/>
        <v>11</v>
      </c>
      <c r="Z6" s="332">
        <f t="shared" si="0"/>
        <v>12</v>
      </c>
      <c r="AA6" s="332">
        <f t="shared" si="0"/>
        <v>13</v>
      </c>
      <c r="AB6" s="332">
        <f t="shared" si="0"/>
        <v>14</v>
      </c>
      <c r="AC6" s="332">
        <f t="shared" si="0"/>
        <v>15</v>
      </c>
      <c r="AD6" s="332">
        <f t="shared" si="0"/>
        <v>16</v>
      </c>
      <c r="AE6" s="332">
        <f t="shared" si="0"/>
        <v>17</v>
      </c>
      <c r="AF6" s="332">
        <f t="shared" si="0"/>
        <v>18</v>
      </c>
      <c r="AG6" s="332">
        <f t="shared" si="0"/>
        <v>19</v>
      </c>
      <c r="AH6" s="332">
        <f t="shared" si="0"/>
        <v>20</v>
      </c>
      <c r="AI6" s="332">
        <f t="shared" si="0"/>
        <v>21</v>
      </c>
      <c r="AJ6" s="332">
        <f t="shared" si="0"/>
        <v>22</v>
      </c>
      <c r="AK6" s="332">
        <f t="shared" si="0"/>
        <v>23</v>
      </c>
      <c r="AL6" s="332">
        <f t="shared" si="0"/>
        <v>24</v>
      </c>
      <c r="AM6" s="332">
        <f t="shared" si="0"/>
        <v>25</v>
      </c>
      <c r="AN6" s="332">
        <f t="shared" si="0"/>
        <v>26</v>
      </c>
      <c r="AO6" s="332">
        <f t="shared" si="0"/>
        <v>27</v>
      </c>
      <c r="AP6" s="332">
        <f t="shared" si="0"/>
        <v>28</v>
      </c>
      <c r="AQ6" s="332">
        <f t="shared" si="0"/>
        <v>29</v>
      </c>
      <c r="AR6" s="332">
        <f t="shared" si="0"/>
        <v>30</v>
      </c>
      <c r="AS6" s="332">
        <f t="shared" si="0"/>
        <v>31</v>
      </c>
      <c r="AT6" s="332">
        <f t="shared" si="0"/>
        <v>32</v>
      </c>
      <c r="AU6" s="332">
        <f t="shared" si="0"/>
        <v>33</v>
      </c>
      <c r="AV6" s="332">
        <f t="shared" ref="AV6:CA6" si="1">1+AU6</f>
        <v>34</v>
      </c>
      <c r="AW6" s="332">
        <f t="shared" si="1"/>
        <v>35</v>
      </c>
      <c r="AX6" s="332">
        <f t="shared" si="1"/>
        <v>36</v>
      </c>
      <c r="AY6" s="332">
        <f t="shared" si="1"/>
        <v>37</v>
      </c>
      <c r="AZ6" s="332">
        <f t="shared" si="1"/>
        <v>38</v>
      </c>
      <c r="BA6" s="332">
        <f t="shared" si="1"/>
        <v>39</v>
      </c>
      <c r="BB6" s="332">
        <f t="shared" si="1"/>
        <v>40</v>
      </c>
      <c r="BC6" s="332">
        <f t="shared" si="1"/>
        <v>41</v>
      </c>
      <c r="BD6" s="332">
        <f t="shared" si="1"/>
        <v>42</v>
      </c>
      <c r="BE6" s="332">
        <f t="shared" si="1"/>
        <v>43</v>
      </c>
      <c r="BF6" s="332">
        <f t="shared" si="1"/>
        <v>44</v>
      </c>
      <c r="BG6" s="332">
        <f t="shared" si="1"/>
        <v>45</v>
      </c>
      <c r="BH6" s="332">
        <f t="shared" si="1"/>
        <v>46</v>
      </c>
      <c r="BI6" s="332">
        <f t="shared" si="1"/>
        <v>47</v>
      </c>
      <c r="BJ6" s="332">
        <f t="shared" si="1"/>
        <v>48</v>
      </c>
      <c r="BK6" s="332">
        <f t="shared" si="1"/>
        <v>49</v>
      </c>
      <c r="BL6" s="332">
        <f t="shared" si="1"/>
        <v>50</v>
      </c>
      <c r="BM6" s="332">
        <f t="shared" si="1"/>
        <v>51</v>
      </c>
      <c r="BN6" s="332">
        <f t="shared" si="1"/>
        <v>52</v>
      </c>
      <c r="BO6" s="332">
        <f t="shared" si="1"/>
        <v>53</v>
      </c>
      <c r="BP6" s="332">
        <f t="shared" si="1"/>
        <v>54</v>
      </c>
      <c r="BQ6" s="332">
        <f t="shared" si="1"/>
        <v>55</v>
      </c>
      <c r="BR6" s="332">
        <f t="shared" si="1"/>
        <v>56</v>
      </c>
      <c r="BS6" s="332">
        <f t="shared" si="1"/>
        <v>57</v>
      </c>
      <c r="BT6" s="332">
        <f t="shared" si="1"/>
        <v>58</v>
      </c>
      <c r="BU6" s="332">
        <f t="shared" si="1"/>
        <v>59</v>
      </c>
      <c r="BV6" s="332">
        <f t="shared" si="1"/>
        <v>60</v>
      </c>
      <c r="BW6" s="332">
        <f t="shared" si="1"/>
        <v>61</v>
      </c>
      <c r="BX6" s="332">
        <f t="shared" si="1"/>
        <v>62</v>
      </c>
      <c r="BY6" s="332">
        <f t="shared" si="1"/>
        <v>63</v>
      </c>
      <c r="BZ6" s="332">
        <f t="shared" si="1"/>
        <v>64</v>
      </c>
      <c r="CA6" s="332">
        <f t="shared" si="1"/>
        <v>65</v>
      </c>
      <c r="CB6" s="332">
        <f t="shared" ref="CB6:DG6" si="2">1+CA6</f>
        <v>66</v>
      </c>
      <c r="CC6" s="332">
        <f t="shared" si="2"/>
        <v>67</v>
      </c>
      <c r="CD6" s="332">
        <f t="shared" si="2"/>
        <v>68</v>
      </c>
      <c r="CE6" s="332">
        <f t="shared" si="2"/>
        <v>69</v>
      </c>
      <c r="CF6" s="332">
        <f t="shared" si="2"/>
        <v>70</v>
      </c>
      <c r="CG6" s="332">
        <f t="shared" si="2"/>
        <v>71</v>
      </c>
      <c r="CH6" s="332">
        <f t="shared" si="2"/>
        <v>72</v>
      </c>
      <c r="CI6" s="332">
        <f t="shared" si="2"/>
        <v>73</v>
      </c>
      <c r="CJ6" s="332">
        <f t="shared" si="2"/>
        <v>74</v>
      </c>
      <c r="CK6" s="332">
        <f t="shared" si="2"/>
        <v>75</v>
      </c>
      <c r="CL6" s="332">
        <f t="shared" si="2"/>
        <v>76</v>
      </c>
      <c r="CM6" s="332">
        <f t="shared" si="2"/>
        <v>77</v>
      </c>
      <c r="CN6" s="332">
        <f t="shared" si="2"/>
        <v>78</v>
      </c>
      <c r="CO6" s="332">
        <f t="shared" si="2"/>
        <v>79</v>
      </c>
      <c r="CP6" s="332">
        <f t="shared" si="2"/>
        <v>80</v>
      </c>
      <c r="CQ6" s="332">
        <f t="shared" si="2"/>
        <v>81</v>
      </c>
      <c r="CR6" s="332">
        <f t="shared" si="2"/>
        <v>82</v>
      </c>
      <c r="CS6" s="332">
        <f t="shared" si="2"/>
        <v>83</v>
      </c>
      <c r="CT6" s="332">
        <f t="shared" si="2"/>
        <v>84</v>
      </c>
      <c r="CU6" s="332">
        <f t="shared" si="2"/>
        <v>85</v>
      </c>
      <c r="CV6" s="332">
        <f t="shared" si="2"/>
        <v>86</v>
      </c>
      <c r="CW6" s="332">
        <f t="shared" si="2"/>
        <v>87</v>
      </c>
      <c r="CX6" s="332">
        <f t="shared" si="2"/>
        <v>88</v>
      </c>
      <c r="CY6" s="332">
        <f t="shared" si="2"/>
        <v>89</v>
      </c>
      <c r="CZ6" s="332">
        <f t="shared" si="2"/>
        <v>90</v>
      </c>
      <c r="DA6" s="332">
        <f t="shared" si="2"/>
        <v>91</v>
      </c>
      <c r="DB6" s="332">
        <f t="shared" si="2"/>
        <v>92</v>
      </c>
      <c r="DC6" s="332">
        <f t="shared" si="2"/>
        <v>93</v>
      </c>
      <c r="DD6" s="332">
        <f t="shared" si="2"/>
        <v>94</v>
      </c>
      <c r="DE6" s="332">
        <f t="shared" si="2"/>
        <v>95</v>
      </c>
      <c r="DF6" s="332">
        <f t="shared" si="2"/>
        <v>96</v>
      </c>
      <c r="DG6" s="332">
        <f t="shared" si="2"/>
        <v>97</v>
      </c>
      <c r="DH6" s="332">
        <f t="shared" ref="DH6:EC6" si="3">1+DG6</f>
        <v>98</v>
      </c>
      <c r="DI6" s="332">
        <f t="shared" si="3"/>
        <v>99</v>
      </c>
      <c r="DJ6" s="332">
        <f t="shared" si="3"/>
        <v>100</v>
      </c>
      <c r="DK6" s="332">
        <f t="shared" si="3"/>
        <v>101</v>
      </c>
      <c r="DL6" s="332">
        <f t="shared" si="3"/>
        <v>102</v>
      </c>
      <c r="DM6" s="332">
        <f t="shared" si="3"/>
        <v>103</v>
      </c>
      <c r="DN6" s="332">
        <f t="shared" si="3"/>
        <v>104</v>
      </c>
      <c r="DO6" s="332">
        <f t="shared" si="3"/>
        <v>105</v>
      </c>
      <c r="DP6" s="332">
        <f t="shared" si="3"/>
        <v>106</v>
      </c>
      <c r="DQ6" s="332">
        <f t="shared" si="3"/>
        <v>107</v>
      </c>
      <c r="DR6" s="332">
        <f t="shared" si="3"/>
        <v>108</v>
      </c>
      <c r="DS6" s="332">
        <f t="shared" si="3"/>
        <v>109</v>
      </c>
      <c r="DT6" s="332">
        <f t="shared" si="3"/>
        <v>110</v>
      </c>
      <c r="DU6" s="332">
        <f t="shared" si="3"/>
        <v>111</v>
      </c>
      <c r="DV6" s="332">
        <f t="shared" si="3"/>
        <v>112</v>
      </c>
      <c r="DW6" s="332">
        <f t="shared" si="3"/>
        <v>113</v>
      </c>
      <c r="DX6" s="332">
        <f t="shared" si="3"/>
        <v>114</v>
      </c>
      <c r="DY6" s="332">
        <f t="shared" si="3"/>
        <v>115</v>
      </c>
      <c r="DZ6" s="332">
        <f t="shared" si="3"/>
        <v>116</v>
      </c>
      <c r="EA6" s="332">
        <f t="shared" si="3"/>
        <v>117</v>
      </c>
      <c r="EB6" s="332">
        <f t="shared" si="3"/>
        <v>118</v>
      </c>
      <c r="EC6" s="332">
        <f t="shared" si="3"/>
        <v>119</v>
      </c>
      <c r="ED6" s="332">
        <f t="shared" ref="ED6" si="4">1+EC6</f>
        <v>120</v>
      </c>
      <c r="EE6" s="332">
        <f t="shared" ref="EE6" si="5">1+ED6</f>
        <v>121</v>
      </c>
      <c r="EF6" s="332">
        <f t="shared" ref="EF6" si="6">1+EE6</f>
        <v>122</v>
      </c>
      <c r="EG6" s="332">
        <f t="shared" ref="EG6" si="7">1+EF6</f>
        <v>123</v>
      </c>
      <c r="EH6" s="332">
        <f t="shared" ref="EH6" si="8">1+EG6</f>
        <v>124</v>
      </c>
      <c r="EI6" s="332">
        <f t="shared" ref="EI6" si="9">1+EH6</f>
        <v>125</v>
      </c>
      <c r="EJ6" s="332">
        <f t="shared" ref="EJ6" si="10">1+EI6</f>
        <v>126</v>
      </c>
      <c r="EK6" s="332">
        <f t="shared" ref="EK6" si="11">1+EJ6</f>
        <v>127</v>
      </c>
      <c r="EL6" s="332">
        <f t="shared" ref="EL6" si="12">1+EK6</f>
        <v>128</v>
      </c>
      <c r="EM6" s="332">
        <f t="shared" ref="EM6" si="13">1+EL6</f>
        <v>129</v>
      </c>
      <c r="EN6" s="332">
        <f t="shared" ref="EN6" si="14">1+EM6</f>
        <v>130</v>
      </c>
      <c r="EO6" s="332">
        <f t="shared" ref="EO6" si="15">1+EN6</f>
        <v>131</v>
      </c>
      <c r="EP6" s="332">
        <f>1+EO6</f>
        <v>132</v>
      </c>
    </row>
    <row r="7" spans="1:146">
      <c r="B7" s="337">
        <f>NPV(B$4/12,C7:N7)</f>
        <v>9351980.8636226431</v>
      </c>
      <c r="C7" s="332">
        <v>0</v>
      </c>
      <c r="D7" s="332">
        <v>0</v>
      </c>
      <c r="E7" s="332">
        <v>0</v>
      </c>
      <c r="F7" s="332">
        <v>0</v>
      </c>
      <c r="G7" s="332">
        <v>0</v>
      </c>
      <c r="H7" s="332">
        <f>B3/(B4/12)</f>
        <v>5000000</v>
      </c>
      <c r="I7" s="332">
        <v>0</v>
      </c>
      <c r="J7" s="332">
        <v>0</v>
      </c>
      <c r="K7" s="332">
        <v>0</v>
      </c>
      <c r="L7" s="332">
        <v>0</v>
      </c>
      <c r="M7" s="332">
        <v>0</v>
      </c>
      <c r="N7" s="332">
        <f>B3/(B4/12)</f>
        <v>5000000</v>
      </c>
    </row>
    <row r="8" spans="1:146">
      <c r="B8" s="338">
        <f>NPV(B$5/12,C8:N8)</f>
        <v>5888892.4210710116</v>
      </c>
      <c r="C8" s="339">
        <v>0</v>
      </c>
      <c r="D8" s="339">
        <v>0</v>
      </c>
      <c r="E8" s="339">
        <f>B2</f>
        <v>1500000</v>
      </c>
      <c r="F8" s="339">
        <v>0</v>
      </c>
      <c r="G8" s="339">
        <v>0</v>
      </c>
      <c r="H8" s="339">
        <f>B2</f>
        <v>1500000</v>
      </c>
      <c r="I8" s="339">
        <v>0</v>
      </c>
      <c r="J8" s="339">
        <v>0</v>
      </c>
      <c r="K8" s="339">
        <f>B2</f>
        <v>1500000</v>
      </c>
      <c r="L8" s="339">
        <v>0</v>
      </c>
      <c r="M8" s="339">
        <v>0</v>
      </c>
      <c r="N8" s="339">
        <f>B2</f>
        <v>1500000</v>
      </c>
    </row>
    <row r="9" spans="1:146">
      <c r="B9" s="337">
        <f t="shared" ref="B9:N9" si="16">B7-B8</f>
        <v>3463088.4425516315</v>
      </c>
      <c r="C9" s="340">
        <f t="shared" si="16"/>
        <v>0</v>
      </c>
      <c r="D9" s="340">
        <f t="shared" si="16"/>
        <v>0</v>
      </c>
      <c r="E9" s="340">
        <f t="shared" si="16"/>
        <v>-1500000</v>
      </c>
      <c r="F9" s="340">
        <f t="shared" si="16"/>
        <v>0</v>
      </c>
      <c r="G9" s="340">
        <f t="shared" si="16"/>
        <v>0</v>
      </c>
      <c r="H9" s="340">
        <f t="shared" si="16"/>
        <v>3500000</v>
      </c>
      <c r="I9" s="340">
        <f t="shared" si="16"/>
        <v>0</v>
      </c>
      <c r="J9" s="340">
        <f t="shared" si="16"/>
        <v>0</v>
      </c>
      <c r="K9" s="340">
        <f t="shared" si="16"/>
        <v>-1500000</v>
      </c>
      <c r="L9" s="340">
        <f t="shared" si="16"/>
        <v>0</v>
      </c>
      <c r="M9" s="340">
        <f t="shared" si="16"/>
        <v>0</v>
      </c>
      <c r="N9" s="340">
        <f t="shared" si="16"/>
        <v>3500000</v>
      </c>
    </row>
    <row r="10" spans="1:146">
      <c r="A10" s="336">
        <f>IRR(B10:N10,0.1)</f>
        <v>1.2870693563973539E-2</v>
      </c>
      <c r="B10" s="337">
        <f>-B9</f>
        <v>-3463088.4425516315</v>
      </c>
      <c r="C10" s="340">
        <f t="shared" ref="C10:N10" si="17">C9</f>
        <v>0</v>
      </c>
      <c r="D10" s="340">
        <f t="shared" si="17"/>
        <v>0</v>
      </c>
      <c r="E10" s="340">
        <f t="shared" si="17"/>
        <v>-1500000</v>
      </c>
      <c r="F10" s="340">
        <f t="shared" si="17"/>
        <v>0</v>
      </c>
      <c r="G10" s="340">
        <f t="shared" si="17"/>
        <v>0</v>
      </c>
      <c r="H10" s="340">
        <f t="shared" si="17"/>
        <v>3500000</v>
      </c>
      <c r="I10" s="340">
        <f t="shared" si="17"/>
        <v>0</v>
      </c>
      <c r="J10" s="340">
        <f t="shared" si="17"/>
        <v>0</v>
      </c>
      <c r="K10" s="340">
        <f t="shared" si="17"/>
        <v>-1500000</v>
      </c>
      <c r="L10" s="340">
        <f t="shared" si="17"/>
        <v>0</v>
      </c>
      <c r="M10" s="340">
        <f t="shared" si="17"/>
        <v>0</v>
      </c>
      <c r="N10" s="340">
        <f t="shared" si="17"/>
        <v>3500000</v>
      </c>
    </row>
    <row r="11" spans="1:146">
      <c r="A11" s="332" t="s">
        <v>216</v>
      </c>
      <c r="B11" s="336">
        <f>(1+IRR(B10:N10,0.1))^12-1</f>
        <v>0.16586446411253375</v>
      </c>
      <c r="C11" s="336">
        <f>((1+B11)^(1/12)-1)*12</f>
        <v>0.15444832276768228</v>
      </c>
    </row>
    <row r="12" spans="1:146">
      <c r="B12" s="337">
        <f>NPV(B4/12,C12:N12)</f>
        <v>209599.31410713508</v>
      </c>
      <c r="C12" s="332">
        <v>0</v>
      </c>
      <c r="D12" s="332">
        <v>0</v>
      </c>
      <c r="E12" s="332">
        <v>0</v>
      </c>
      <c r="F12" s="332">
        <v>0</v>
      </c>
      <c r="G12" s="332">
        <v>0</v>
      </c>
      <c r="H12" s="332">
        <v>0</v>
      </c>
      <c r="I12" s="332">
        <f>B3</f>
        <v>37500</v>
      </c>
      <c r="J12" s="332">
        <f>I12</f>
        <v>37500</v>
      </c>
      <c r="K12" s="332">
        <f>J12</f>
        <v>37500</v>
      </c>
      <c r="L12" s="332">
        <f>K12</f>
        <v>37500</v>
      </c>
      <c r="M12" s="332">
        <f>L12</f>
        <v>37500</v>
      </c>
      <c r="N12" s="332">
        <f>M12</f>
        <v>37500</v>
      </c>
      <c r="O12" s="332">
        <f>2*B3</f>
        <v>75000</v>
      </c>
      <c r="P12" s="332">
        <f t="shared" ref="P12:AU12" si="18">O12</f>
        <v>75000</v>
      </c>
      <c r="Q12" s="332">
        <f t="shared" si="18"/>
        <v>75000</v>
      </c>
      <c r="R12" s="332">
        <f t="shared" si="18"/>
        <v>75000</v>
      </c>
      <c r="S12" s="332">
        <f t="shared" si="18"/>
        <v>75000</v>
      </c>
      <c r="T12" s="332">
        <f t="shared" si="18"/>
        <v>75000</v>
      </c>
      <c r="U12" s="332">
        <f t="shared" si="18"/>
        <v>75000</v>
      </c>
      <c r="V12" s="332">
        <f t="shared" si="18"/>
        <v>75000</v>
      </c>
      <c r="W12" s="332">
        <f t="shared" si="18"/>
        <v>75000</v>
      </c>
      <c r="X12" s="332">
        <f t="shared" si="18"/>
        <v>75000</v>
      </c>
      <c r="Y12" s="332">
        <f t="shared" si="18"/>
        <v>75000</v>
      </c>
      <c r="Z12" s="332">
        <f t="shared" si="18"/>
        <v>75000</v>
      </c>
      <c r="AA12" s="332">
        <f t="shared" si="18"/>
        <v>75000</v>
      </c>
      <c r="AB12" s="332">
        <f t="shared" si="18"/>
        <v>75000</v>
      </c>
      <c r="AC12" s="332">
        <f t="shared" si="18"/>
        <v>75000</v>
      </c>
      <c r="AD12" s="332">
        <f t="shared" si="18"/>
        <v>75000</v>
      </c>
      <c r="AE12" s="332">
        <f t="shared" si="18"/>
        <v>75000</v>
      </c>
      <c r="AF12" s="332">
        <f t="shared" si="18"/>
        <v>75000</v>
      </c>
      <c r="AG12" s="332">
        <f t="shared" si="18"/>
        <v>75000</v>
      </c>
      <c r="AH12" s="332">
        <f t="shared" si="18"/>
        <v>75000</v>
      </c>
      <c r="AI12" s="332">
        <f t="shared" si="18"/>
        <v>75000</v>
      </c>
      <c r="AJ12" s="332">
        <f t="shared" si="18"/>
        <v>75000</v>
      </c>
      <c r="AK12" s="332">
        <f t="shared" si="18"/>
        <v>75000</v>
      </c>
      <c r="AL12" s="332">
        <f t="shared" si="18"/>
        <v>75000</v>
      </c>
      <c r="AM12" s="332">
        <f t="shared" si="18"/>
        <v>75000</v>
      </c>
      <c r="AN12" s="332">
        <f t="shared" si="18"/>
        <v>75000</v>
      </c>
      <c r="AO12" s="332">
        <f t="shared" si="18"/>
        <v>75000</v>
      </c>
      <c r="AP12" s="332">
        <f t="shared" si="18"/>
        <v>75000</v>
      </c>
      <c r="AQ12" s="332">
        <f t="shared" si="18"/>
        <v>75000</v>
      </c>
      <c r="AR12" s="332">
        <f t="shared" si="18"/>
        <v>75000</v>
      </c>
      <c r="AS12" s="332">
        <f t="shared" si="18"/>
        <v>75000</v>
      </c>
      <c r="AT12" s="332">
        <f t="shared" si="18"/>
        <v>75000</v>
      </c>
      <c r="AU12" s="332">
        <f t="shared" si="18"/>
        <v>75000</v>
      </c>
      <c r="AV12" s="332">
        <f t="shared" ref="AV12:CA12" si="19">AU12</f>
        <v>75000</v>
      </c>
      <c r="AW12" s="332">
        <f t="shared" si="19"/>
        <v>75000</v>
      </c>
      <c r="AX12" s="332">
        <f t="shared" si="19"/>
        <v>75000</v>
      </c>
      <c r="AY12" s="332">
        <f t="shared" si="19"/>
        <v>75000</v>
      </c>
      <c r="AZ12" s="332">
        <f t="shared" si="19"/>
        <v>75000</v>
      </c>
      <c r="BA12" s="332">
        <f t="shared" si="19"/>
        <v>75000</v>
      </c>
      <c r="BB12" s="332">
        <f t="shared" si="19"/>
        <v>75000</v>
      </c>
      <c r="BC12" s="332">
        <f t="shared" si="19"/>
        <v>75000</v>
      </c>
      <c r="BD12" s="332">
        <f t="shared" si="19"/>
        <v>75000</v>
      </c>
      <c r="BE12" s="332">
        <f t="shared" si="19"/>
        <v>75000</v>
      </c>
      <c r="BF12" s="332">
        <f t="shared" si="19"/>
        <v>75000</v>
      </c>
      <c r="BG12" s="332">
        <f t="shared" si="19"/>
        <v>75000</v>
      </c>
      <c r="BH12" s="332">
        <f t="shared" si="19"/>
        <v>75000</v>
      </c>
      <c r="BI12" s="332">
        <f t="shared" si="19"/>
        <v>75000</v>
      </c>
      <c r="BJ12" s="332">
        <f t="shared" si="19"/>
        <v>75000</v>
      </c>
      <c r="BK12" s="332">
        <f t="shared" si="19"/>
        <v>75000</v>
      </c>
      <c r="BL12" s="332">
        <f t="shared" si="19"/>
        <v>75000</v>
      </c>
      <c r="BM12" s="332">
        <f t="shared" si="19"/>
        <v>75000</v>
      </c>
      <c r="BN12" s="332">
        <f t="shared" si="19"/>
        <v>75000</v>
      </c>
      <c r="BO12" s="332">
        <f t="shared" si="19"/>
        <v>75000</v>
      </c>
      <c r="BP12" s="332">
        <f t="shared" si="19"/>
        <v>75000</v>
      </c>
      <c r="BQ12" s="332">
        <f t="shared" si="19"/>
        <v>75000</v>
      </c>
      <c r="BR12" s="332">
        <f t="shared" si="19"/>
        <v>75000</v>
      </c>
      <c r="BS12" s="332">
        <f t="shared" si="19"/>
        <v>75000</v>
      </c>
      <c r="BT12" s="332">
        <f t="shared" si="19"/>
        <v>75000</v>
      </c>
      <c r="BU12" s="332">
        <f t="shared" si="19"/>
        <v>75000</v>
      </c>
      <c r="BV12" s="332">
        <f t="shared" si="19"/>
        <v>75000</v>
      </c>
      <c r="BW12" s="332">
        <f t="shared" si="19"/>
        <v>75000</v>
      </c>
      <c r="BX12" s="332">
        <f t="shared" si="19"/>
        <v>75000</v>
      </c>
      <c r="BY12" s="332">
        <f t="shared" si="19"/>
        <v>75000</v>
      </c>
      <c r="BZ12" s="332">
        <f t="shared" si="19"/>
        <v>75000</v>
      </c>
      <c r="CA12" s="332">
        <f t="shared" si="19"/>
        <v>75000</v>
      </c>
      <c r="CB12" s="332">
        <f t="shared" ref="CB12:DG12" si="20">CA12</f>
        <v>75000</v>
      </c>
      <c r="CC12" s="332">
        <f t="shared" si="20"/>
        <v>75000</v>
      </c>
      <c r="CD12" s="332">
        <f t="shared" si="20"/>
        <v>75000</v>
      </c>
      <c r="CE12" s="332">
        <f t="shared" si="20"/>
        <v>75000</v>
      </c>
      <c r="CF12" s="332">
        <f t="shared" si="20"/>
        <v>75000</v>
      </c>
      <c r="CG12" s="332">
        <f t="shared" si="20"/>
        <v>75000</v>
      </c>
      <c r="CH12" s="332">
        <f t="shared" si="20"/>
        <v>75000</v>
      </c>
      <c r="CI12" s="332">
        <f t="shared" si="20"/>
        <v>75000</v>
      </c>
      <c r="CJ12" s="332">
        <f t="shared" si="20"/>
        <v>75000</v>
      </c>
      <c r="CK12" s="332">
        <f t="shared" si="20"/>
        <v>75000</v>
      </c>
      <c r="CL12" s="332">
        <f t="shared" si="20"/>
        <v>75000</v>
      </c>
      <c r="CM12" s="332">
        <f t="shared" si="20"/>
        <v>75000</v>
      </c>
      <c r="CN12" s="332">
        <f t="shared" si="20"/>
        <v>75000</v>
      </c>
      <c r="CO12" s="332">
        <f t="shared" si="20"/>
        <v>75000</v>
      </c>
      <c r="CP12" s="332">
        <f t="shared" si="20"/>
        <v>75000</v>
      </c>
      <c r="CQ12" s="332">
        <f t="shared" si="20"/>
        <v>75000</v>
      </c>
      <c r="CR12" s="332">
        <f t="shared" si="20"/>
        <v>75000</v>
      </c>
      <c r="CS12" s="332">
        <f t="shared" si="20"/>
        <v>75000</v>
      </c>
      <c r="CT12" s="332">
        <f t="shared" si="20"/>
        <v>75000</v>
      </c>
      <c r="CU12" s="332">
        <f t="shared" si="20"/>
        <v>75000</v>
      </c>
      <c r="CV12" s="332">
        <f t="shared" si="20"/>
        <v>75000</v>
      </c>
      <c r="CW12" s="332">
        <f t="shared" si="20"/>
        <v>75000</v>
      </c>
      <c r="CX12" s="332">
        <f t="shared" si="20"/>
        <v>75000</v>
      </c>
      <c r="CY12" s="332">
        <f t="shared" si="20"/>
        <v>75000</v>
      </c>
      <c r="CZ12" s="332">
        <f t="shared" si="20"/>
        <v>75000</v>
      </c>
      <c r="DA12" s="332">
        <f t="shared" si="20"/>
        <v>75000</v>
      </c>
      <c r="DB12" s="332">
        <f t="shared" si="20"/>
        <v>75000</v>
      </c>
      <c r="DC12" s="332">
        <f t="shared" si="20"/>
        <v>75000</v>
      </c>
      <c r="DD12" s="332">
        <f t="shared" si="20"/>
        <v>75000</v>
      </c>
      <c r="DE12" s="332">
        <f t="shared" si="20"/>
        <v>75000</v>
      </c>
      <c r="DF12" s="332">
        <f t="shared" si="20"/>
        <v>75000</v>
      </c>
      <c r="DG12" s="332">
        <f t="shared" si="20"/>
        <v>75000</v>
      </c>
      <c r="DH12" s="332">
        <f t="shared" ref="DH12:EC12" si="21">DG12</f>
        <v>75000</v>
      </c>
      <c r="DI12" s="332">
        <f t="shared" si="21"/>
        <v>75000</v>
      </c>
      <c r="DJ12" s="332">
        <f t="shared" si="21"/>
        <v>75000</v>
      </c>
      <c r="DK12" s="332">
        <f t="shared" si="21"/>
        <v>75000</v>
      </c>
      <c r="DL12" s="332">
        <f t="shared" si="21"/>
        <v>75000</v>
      </c>
      <c r="DM12" s="332">
        <f t="shared" si="21"/>
        <v>75000</v>
      </c>
      <c r="DN12" s="332">
        <f t="shared" si="21"/>
        <v>75000</v>
      </c>
      <c r="DO12" s="332">
        <f t="shared" si="21"/>
        <v>75000</v>
      </c>
      <c r="DP12" s="332">
        <f t="shared" si="21"/>
        <v>75000</v>
      </c>
      <c r="DQ12" s="332">
        <f t="shared" si="21"/>
        <v>75000</v>
      </c>
      <c r="DR12" s="332">
        <f t="shared" si="21"/>
        <v>75000</v>
      </c>
      <c r="DS12" s="332">
        <f t="shared" si="21"/>
        <v>75000</v>
      </c>
      <c r="DT12" s="332">
        <f t="shared" si="21"/>
        <v>75000</v>
      </c>
      <c r="DU12" s="332">
        <f t="shared" si="21"/>
        <v>75000</v>
      </c>
      <c r="DV12" s="332">
        <f t="shared" si="21"/>
        <v>75000</v>
      </c>
      <c r="DW12" s="332">
        <f t="shared" si="21"/>
        <v>75000</v>
      </c>
      <c r="DX12" s="332">
        <f t="shared" si="21"/>
        <v>75000</v>
      </c>
      <c r="DY12" s="332">
        <f t="shared" si="21"/>
        <v>75000</v>
      </c>
      <c r="DZ12" s="332">
        <f t="shared" si="21"/>
        <v>75000</v>
      </c>
      <c r="EA12" s="332">
        <f t="shared" si="21"/>
        <v>75000</v>
      </c>
      <c r="EB12" s="332">
        <f t="shared" si="21"/>
        <v>75000</v>
      </c>
      <c r="EC12" s="332">
        <f t="shared" si="21"/>
        <v>75000</v>
      </c>
      <c r="ED12" s="332">
        <f t="shared" ref="ED12" si="22">EC12</f>
        <v>75000</v>
      </c>
      <c r="EE12" s="332">
        <f t="shared" ref="EE12" si="23">ED12</f>
        <v>75000</v>
      </c>
      <c r="EF12" s="332">
        <f t="shared" ref="EF12" si="24">EE12</f>
        <v>75000</v>
      </c>
      <c r="EG12" s="332">
        <f t="shared" ref="EG12" si="25">EF12</f>
        <v>75000</v>
      </c>
      <c r="EH12" s="332">
        <f t="shared" ref="EH12" si="26">EG12</f>
        <v>75000</v>
      </c>
      <c r="EI12" s="332">
        <f t="shared" ref="EI12" si="27">EH12</f>
        <v>75000</v>
      </c>
      <c r="EJ12" s="332">
        <f t="shared" ref="EJ12" si="28">EI12</f>
        <v>75000</v>
      </c>
      <c r="EK12" s="332">
        <f t="shared" ref="EK12" si="29">EJ12</f>
        <v>75000</v>
      </c>
      <c r="EL12" s="332">
        <f t="shared" ref="EL12" si="30">EK12</f>
        <v>75000</v>
      </c>
      <c r="EM12" s="332">
        <f t="shared" ref="EM12" si="31">EL12</f>
        <v>75000</v>
      </c>
      <c r="EN12" s="332">
        <f t="shared" ref="EN12" si="32">EM12</f>
        <v>75000</v>
      </c>
      <c r="EO12" s="332">
        <f t="shared" ref="EO12" si="33">EN12</f>
        <v>75000</v>
      </c>
      <c r="EP12" s="332">
        <f>EO12+2*N7</f>
        <v>10075000</v>
      </c>
    </row>
    <row r="13" spans="1:146">
      <c r="B13" s="337"/>
      <c r="C13" s="339">
        <f t="shared" ref="C13:N13" si="34">C8</f>
        <v>0</v>
      </c>
      <c r="D13" s="339">
        <f t="shared" si="34"/>
        <v>0</v>
      </c>
      <c r="E13" s="339">
        <f t="shared" si="34"/>
        <v>1500000</v>
      </c>
      <c r="F13" s="339">
        <f t="shared" si="34"/>
        <v>0</v>
      </c>
      <c r="G13" s="339">
        <f t="shared" si="34"/>
        <v>0</v>
      </c>
      <c r="H13" s="339">
        <f t="shared" si="34"/>
        <v>1500000</v>
      </c>
      <c r="I13" s="339">
        <f t="shared" si="34"/>
        <v>0</v>
      </c>
      <c r="J13" s="339">
        <f t="shared" si="34"/>
        <v>0</v>
      </c>
      <c r="K13" s="339">
        <f t="shared" si="34"/>
        <v>1500000</v>
      </c>
      <c r="L13" s="339">
        <f t="shared" si="34"/>
        <v>0</v>
      </c>
      <c r="M13" s="339">
        <f t="shared" si="34"/>
        <v>0</v>
      </c>
      <c r="N13" s="339">
        <f t="shared" si="34"/>
        <v>1500000</v>
      </c>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339"/>
      <c r="AS13" s="339"/>
      <c r="AT13" s="339"/>
      <c r="AU13" s="339"/>
      <c r="AV13" s="339"/>
      <c r="AW13" s="339"/>
      <c r="AX13" s="339"/>
      <c r="AY13" s="339"/>
      <c r="AZ13" s="339"/>
      <c r="BA13" s="339"/>
      <c r="BB13" s="339"/>
      <c r="BC13" s="339"/>
      <c r="BD13" s="339"/>
      <c r="BE13" s="339"/>
      <c r="BF13" s="339"/>
      <c r="BG13" s="339"/>
      <c r="BH13" s="339"/>
      <c r="BI13" s="339"/>
      <c r="BJ13" s="339"/>
      <c r="BK13" s="339"/>
      <c r="BL13" s="339"/>
      <c r="BM13" s="339"/>
      <c r="BN13" s="339"/>
      <c r="BO13" s="339"/>
      <c r="BP13" s="339"/>
      <c r="BQ13" s="339"/>
      <c r="BR13" s="339"/>
      <c r="BS13" s="339"/>
      <c r="BT13" s="339"/>
      <c r="BU13" s="339"/>
      <c r="BV13" s="339"/>
      <c r="BW13" s="339"/>
      <c r="BX13" s="339"/>
      <c r="BY13" s="339"/>
      <c r="BZ13" s="339"/>
      <c r="CA13" s="339"/>
      <c r="CB13" s="339"/>
      <c r="CC13" s="339"/>
      <c r="CD13" s="339"/>
      <c r="CE13" s="339"/>
      <c r="CF13" s="339"/>
      <c r="CG13" s="339"/>
      <c r="CH13" s="339"/>
      <c r="CI13" s="339"/>
      <c r="CJ13" s="339"/>
      <c r="CK13" s="339"/>
      <c r="CL13" s="339"/>
      <c r="CM13" s="339"/>
      <c r="CN13" s="339"/>
      <c r="CO13" s="339"/>
      <c r="CP13" s="339"/>
      <c r="CQ13" s="339"/>
      <c r="CR13" s="339"/>
      <c r="CS13" s="339"/>
      <c r="CT13" s="339"/>
      <c r="CU13" s="339"/>
      <c r="CV13" s="339"/>
      <c r="CW13" s="339"/>
      <c r="CX13" s="339"/>
      <c r="CY13" s="339"/>
      <c r="CZ13" s="339"/>
      <c r="DA13" s="339"/>
      <c r="DB13" s="339"/>
      <c r="DC13" s="339"/>
      <c r="DD13" s="339"/>
      <c r="DE13" s="339"/>
      <c r="DF13" s="339"/>
      <c r="DG13" s="339"/>
      <c r="DH13" s="339"/>
      <c r="DI13" s="339"/>
      <c r="DJ13" s="339"/>
      <c r="DK13" s="339"/>
      <c r="DL13" s="339"/>
      <c r="DM13" s="339"/>
      <c r="DN13" s="339"/>
      <c r="DO13" s="339"/>
      <c r="DP13" s="339"/>
      <c r="DQ13" s="339"/>
      <c r="DR13" s="339"/>
      <c r="DS13" s="339"/>
      <c r="DT13" s="339"/>
      <c r="DU13" s="339"/>
      <c r="DV13" s="339"/>
      <c r="DW13" s="339"/>
      <c r="DX13" s="339"/>
      <c r="DY13" s="339"/>
      <c r="DZ13" s="339"/>
      <c r="EA13" s="339"/>
      <c r="EB13" s="339"/>
      <c r="EC13" s="339"/>
      <c r="ED13" s="339"/>
      <c r="EE13" s="339"/>
      <c r="EF13" s="339"/>
      <c r="EG13" s="339"/>
      <c r="EH13" s="339"/>
      <c r="EI13" s="339"/>
      <c r="EJ13" s="339"/>
      <c r="EK13" s="339"/>
      <c r="EL13" s="339"/>
      <c r="EM13" s="339"/>
      <c r="EN13" s="339"/>
      <c r="EO13" s="339"/>
      <c r="EP13" s="339"/>
    </row>
    <row r="14" spans="1:146">
      <c r="B14" s="337">
        <f>B10</f>
        <v>-3463088.4425516315</v>
      </c>
      <c r="C14" s="340">
        <f t="shared" ref="C14:AH14" si="35">C12-C13</f>
        <v>0</v>
      </c>
      <c r="D14" s="340">
        <f t="shared" si="35"/>
        <v>0</v>
      </c>
      <c r="E14" s="340">
        <f t="shared" si="35"/>
        <v>-1500000</v>
      </c>
      <c r="F14" s="340">
        <f t="shared" si="35"/>
        <v>0</v>
      </c>
      <c r="G14" s="340">
        <f t="shared" si="35"/>
        <v>0</v>
      </c>
      <c r="H14" s="340">
        <f t="shared" si="35"/>
        <v>-1500000</v>
      </c>
      <c r="I14" s="340">
        <f t="shared" si="35"/>
        <v>37500</v>
      </c>
      <c r="J14" s="340">
        <f t="shared" si="35"/>
        <v>37500</v>
      </c>
      <c r="K14" s="340">
        <f t="shared" si="35"/>
        <v>-1462500</v>
      </c>
      <c r="L14" s="340">
        <f t="shared" si="35"/>
        <v>37500</v>
      </c>
      <c r="M14" s="340">
        <f t="shared" si="35"/>
        <v>37500</v>
      </c>
      <c r="N14" s="340">
        <f t="shared" si="35"/>
        <v>-1462500</v>
      </c>
      <c r="O14" s="340">
        <f t="shared" si="35"/>
        <v>75000</v>
      </c>
      <c r="P14" s="340">
        <f t="shared" si="35"/>
        <v>75000</v>
      </c>
      <c r="Q14" s="340">
        <f t="shared" si="35"/>
        <v>75000</v>
      </c>
      <c r="R14" s="340">
        <f t="shared" si="35"/>
        <v>75000</v>
      </c>
      <c r="S14" s="340">
        <f t="shared" si="35"/>
        <v>75000</v>
      </c>
      <c r="T14" s="340">
        <f t="shared" si="35"/>
        <v>75000</v>
      </c>
      <c r="U14" s="340">
        <f t="shared" si="35"/>
        <v>75000</v>
      </c>
      <c r="V14" s="340">
        <f t="shared" si="35"/>
        <v>75000</v>
      </c>
      <c r="W14" s="340">
        <f t="shared" si="35"/>
        <v>75000</v>
      </c>
      <c r="X14" s="340">
        <f t="shared" si="35"/>
        <v>75000</v>
      </c>
      <c r="Y14" s="340">
        <f t="shared" si="35"/>
        <v>75000</v>
      </c>
      <c r="Z14" s="340">
        <f t="shared" si="35"/>
        <v>75000</v>
      </c>
      <c r="AA14" s="340">
        <f t="shared" si="35"/>
        <v>75000</v>
      </c>
      <c r="AB14" s="340">
        <f t="shared" si="35"/>
        <v>75000</v>
      </c>
      <c r="AC14" s="340">
        <f t="shared" si="35"/>
        <v>75000</v>
      </c>
      <c r="AD14" s="340">
        <f t="shared" si="35"/>
        <v>75000</v>
      </c>
      <c r="AE14" s="340">
        <f t="shared" si="35"/>
        <v>75000</v>
      </c>
      <c r="AF14" s="340">
        <f t="shared" si="35"/>
        <v>75000</v>
      </c>
      <c r="AG14" s="340">
        <f t="shared" si="35"/>
        <v>75000</v>
      </c>
      <c r="AH14" s="340">
        <f t="shared" si="35"/>
        <v>75000</v>
      </c>
      <c r="AI14" s="340">
        <f t="shared" ref="AI14:BN14" si="36">AI12-AI13</f>
        <v>75000</v>
      </c>
      <c r="AJ14" s="340">
        <f t="shared" si="36"/>
        <v>75000</v>
      </c>
      <c r="AK14" s="340">
        <f t="shared" si="36"/>
        <v>75000</v>
      </c>
      <c r="AL14" s="340">
        <f t="shared" si="36"/>
        <v>75000</v>
      </c>
      <c r="AM14" s="340">
        <f t="shared" si="36"/>
        <v>75000</v>
      </c>
      <c r="AN14" s="340">
        <f t="shared" si="36"/>
        <v>75000</v>
      </c>
      <c r="AO14" s="340">
        <f t="shared" si="36"/>
        <v>75000</v>
      </c>
      <c r="AP14" s="340">
        <f t="shared" si="36"/>
        <v>75000</v>
      </c>
      <c r="AQ14" s="340">
        <f t="shared" si="36"/>
        <v>75000</v>
      </c>
      <c r="AR14" s="340">
        <f t="shared" si="36"/>
        <v>75000</v>
      </c>
      <c r="AS14" s="340">
        <f t="shared" si="36"/>
        <v>75000</v>
      </c>
      <c r="AT14" s="340">
        <f t="shared" si="36"/>
        <v>75000</v>
      </c>
      <c r="AU14" s="340">
        <f t="shared" si="36"/>
        <v>75000</v>
      </c>
      <c r="AV14" s="340">
        <f t="shared" si="36"/>
        <v>75000</v>
      </c>
      <c r="AW14" s="340">
        <f t="shared" si="36"/>
        <v>75000</v>
      </c>
      <c r="AX14" s="340">
        <f t="shared" si="36"/>
        <v>75000</v>
      </c>
      <c r="AY14" s="340">
        <f t="shared" si="36"/>
        <v>75000</v>
      </c>
      <c r="AZ14" s="340">
        <f t="shared" si="36"/>
        <v>75000</v>
      </c>
      <c r="BA14" s="340">
        <f t="shared" si="36"/>
        <v>75000</v>
      </c>
      <c r="BB14" s="340">
        <f t="shared" si="36"/>
        <v>75000</v>
      </c>
      <c r="BC14" s="340">
        <f t="shared" si="36"/>
        <v>75000</v>
      </c>
      <c r="BD14" s="340">
        <f t="shared" si="36"/>
        <v>75000</v>
      </c>
      <c r="BE14" s="340">
        <f t="shared" si="36"/>
        <v>75000</v>
      </c>
      <c r="BF14" s="340">
        <f t="shared" si="36"/>
        <v>75000</v>
      </c>
      <c r="BG14" s="340">
        <f t="shared" si="36"/>
        <v>75000</v>
      </c>
      <c r="BH14" s="340">
        <f t="shared" si="36"/>
        <v>75000</v>
      </c>
      <c r="BI14" s="340">
        <f t="shared" si="36"/>
        <v>75000</v>
      </c>
      <c r="BJ14" s="340">
        <f t="shared" si="36"/>
        <v>75000</v>
      </c>
      <c r="BK14" s="340">
        <f t="shared" si="36"/>
        <v>75000</v>
      </c>
      <c r="BL14" s="340">
        <f t="shared" si="36"/>
        <v>75000</v>
      </c>
      <c r="BM14" s="340">
        <f t="shared" si="36"/>
        <v>75000</v>
      </c>
      <c r="BN14" s="340">
        <f t="shared" si="36"/>
        <v>75000</v>
      </c>
      <c r="BO14" s="340">
        <f t="shared" ref="BO14:CT14" si="37">BO12-BO13</f>
        <v>75000</v>
      </c>
      <c r="BP14" s="340">
        <f t="shared" si="37"/>
        <v>75000</v>
      </c>
      <c r="BQ14" s="340">
        <f t="shared" si="37"/>
        <v>75000</v>
      </c>
      <c r="BR14" s="340">
        <f t="shared" si="37"/>
        <v>75000</v>
      </c>
      <c r="BS14" s="340">
        <f t="shared" si="37"/>
        <v>75000</v>
      </c>
      <c r="BT14" s="340">
        <f t="shared" si="37"/>
        <v>75000</v>
      </c>
      <c r="BU14" s="340">
        <f t="shared" si="37"/>
        <v>75000</v>
      </c>
      <c r="BV14" s="340">
        <f t="shared" si="37"/>
        <v>75000</v>
      </c>
      <c r="BW14" s="340">
        <f t="shared" si="37"/>
        <v>75000</v>
      </c>
      <c r="BX14" s="340">
        <f t="shared" si="37"/>
        <v>75000</v>
      </c>
      <c r="BY14" s="340">
        <f t="shared" si="37"/>
        <v>75000</v>
      </c>
      <c r="BZ14" s="340">
        <f t="shared" si="37"/>
        <v>75000</v>
      </c>
      <c r="CA14" s="340">
        <f t="shared" si="37"/>
        <v>75000</v>
      </c>
      <c r="CB14" s="340">
        <f t="shared" si="37"/>
        <v>75000</v>
      </c>
      <c r="CC14" s="340">
        <f t="shared" si="37"/>
        <v>75000</v>
      </c>
      <c r="CD14" s="340">
        <f t="shared" si="37"/>
        <v>75000</v>
      </c>
      <c r="CE14" s="340">
        <f t="shared" si="37"/>
        <v>75000</v>
      </c>
      <c r="CF14" s="340">
        <f t="shared" si="37"/>
        <v>75000</v>
      </c>
      <c r="CG14" s="340">
        <f t="shared" si="37"/>
        <v>75000</v>
      </c>
      <c r="CH14" s="340">
        <f t="shared" si="37"/>
        <v>75000</v>
      </c>
      <c r="CI14" s="340">
        <f t="shared" si="37"/>
        <v>75000</v>
      </c>
      <c r="CJ14" s="340">
        <f t="shared" si="37"/>
        <v>75000</v>
      </c>
      <c r="CK14" s="340">
        <f t="shared" si="37"/>
        <v>75000</v>
      </c>
      <c r="CL14" s="340">
        <f t="shared" si="37"/>
        <v>75000</v>
      </c>
      <c r="CM14" s="340">
        <f t="shared" si="37"/>
        <v>75000</v>
      </c>
      <c r="CN14" s="340">
        <f t="shared" si="37"/>
        <v>75000</v>
      </c>
      <c r="CO14" s="340">
        <f t="shared" si="37"/>
        <v>75000</v>
      </c>
      <c r="CP14" s="340">
        <f t="shared" si="37"/>
        <v>75000</v>
      </c>
      <c r="CQ14" s="340">
        <f t="shared" si="37"/>
        <v>75000</v>
      </c>
      <c r="CR14" s="340">
        <f t="shared" si="37"/>
        <v>75000</v>
      </c>
      <c r="CS14" s="340">
        <f t="shared" si="37"/>
        <v>75000</v>
      </c>
      <c r="CT14" s="340">
        <f t="shared" si="37"/>
        <v>75000</v>
      </c>
      <c r="CU14" s="340">
        <f t="shared" ref="CU14:DZ14" si="38">CU12-CU13</f>
        <v>75000</v>
      </c>
      <c r="CV14" s="340">
        <f t="shared" si="38"/>
        <v>75000</v>
      </c>
      <c r="CW14" s="340">
        <f t="shared" si="38"/>
        <v>75000</v>
      </c>
      <c r="CX14" s="340">
        <f t="shared" si="38"/>
        <v>75000</v>
      </c>
      <c r="CY14" s="340">
        <f t="shared" si="38"/>
        <v>75000</v>
      </c>
      <c r="CZ14" s="340">
        <f t="shared" si="38"/>
        <v>75000</v>
      </c>
      <c r="DA14" s="340">
        <f t="shared" si="38"/>
        <v>75000</v>
      </c>
      <c r="DB14" s="340">
        <f t="shared" si="38"/>
        <v>75000</v>
      </c>
      <c r="DC14" s="340">
        <f t="shared" si="38"/>
        <v>75000</v>
      </c>
      <c r="DD14" s="340">
        <f t="shared" si="38"/>
        <v>75000</v>
      </c>
      <c r="DE14" s="340">
        <f t="shared" si="38"/>
        <v>75000</v>
      </c>
      <c r="DF14" s="340">
        <f t="shared" si="38"/>
        <v>75000</v>
      </c>
      <c r="DG14" s="340">
        <f t="shared" si="38"/>
        <v>75000</v>
      </c>
      <c r="DH14" s="340">
        <f t="shared" si="38"/>
        <v>75000</v>
      </c>
      <c r="DI14" s="340">
        <f t="shared" si="38"/>
        <v>75000</v>
      </c>
      <c r="DJ14" s="340">
        <f t="shared" si="38"/>
        <v>75000</v>
      </c>
      <c r="DK14" s="340">
        <f t="shared" si="38"/>
        <v>75000</v>
      </c>
      <c r="DL14" s="340">
        <f t="shared" si="38"/>
        <v>75000</v>
      </c>
      <c r="DM14" s="340">
        <f t="shared" si="38"/>
        <v>75000</v>
      </c>
      <c r="DN14" s="340">
        <f t="shared" si="38"/>
        <v>75000</v>
      </c>
      <c r="DO14" s="340">
        <f t="shared" si="38"/>
        <v>75000</v>
      </c>
      <c r="DP14" s="340">
        <f t="shared" si="38"/>
        <v>75000</v>
      </c>
      <c r="DQ14" s="340">
        <f t="shared" si="38"/>
        <v>75000</v>
      </c>
      <c r="DR14" s="340">
        <f t="shared" si="38"/>
        <v>75000</v>
      </c>
      <c r="DS14" s="340">
        <f t="shared" si="38"/>
        <v>75000</v>
      </c>
      <c r="DT14" s="340">
        <f t="shared" si="38"/>
        <v>75000</v>
      </c>
      <c r="DU14" s="340">
        <f t="shared" si="38"/>
        <v>75000</v>
      </c>
      <c r="DV14" s="340">
        <f t="shared" si="38"/>
        <v>75000</v>
      </c>
      <c r="DW14" s="340">
        <f t="shared" si="38"/>
        <v>75000</v>
      </c>
      <c r="DX14" s="340">
        <f t="shared" si="38"/>
        <v>75000</v>
      </c>
      <c r="DY14" s="340">
        <f t="shared" si="38"/>
        <v>75000</v>
      </c>
      <c r="DZ14" s="340">
        <f t="shared" si="38"/>
        <v>75000</v>
      </c>
      <c r="EA14" s="340">
        <f>EA12-EA13</f>
        <v>75000</v>
      </c>
      <c r="EB14" s="340">
        <f>EB12-EB13</f>
        <v>75000</v>
      </c>
      <c r="EC14" s="340">
        <f>EC12-EC13</f>
        <v>75000</v>
      </c>
      <c r="ED14" s="340">
        <f t="shared" ref="ED14:EO14" si="39">ED12-ED13</f>
        <v>75000</v>
      </c>
      <c r="EE14" s="340">
        <f t="shared" si="39"/>
        <v>75000</v>
      </c>
      <c r="EF14" s="340">
        <f t="shared" si="39"/>
        <v>75000</v>
      </c>
      <c r="EG14" s="340">
        <f t="shared" si="39"/>
        <v>75000</v>
      </c>
      <c r="EH14" s="340">
        <f t="shared" si="39"/>
        <v>75000</v>
      </c>
      <c r="EI14" s="340">
        <f t="shared" si="39"/>
        <v>75000</v>
      </c>
      <c r="EJ14" s="340">
        <f t="shared" si="39"/>
        <v>75000</v>
      </c>
      <c r="EK14" s="340">
        <f t="shared" si="39"/>
        <v>75000</v>
      </c>
      <c r="EL14" s="340">
        <f t="shared" si="39"/>
        <v>75000</v>
      </c>
      <c r="EM14" s="340">
        <f t="shared" si="39"/>
        <v>75000</v>
      </c>
      <c r="EN14" s="340">
        <f t="shared" si="39"/>
        <v>75000</v>
      </c>
      <c r="EO14" s="340">
        <f t="shared" si="39"/>
        <v>75000</v>
      </c>
      <c r="EP14" s="340">
        <f>EP12-EP13</f>
        <v>10075000</v>
      </c>
    </row>
    <row r="15" spans="1:146">
      <c r="A15" s="332" t="s">
        <v>216</v>
      </c>
      <c r="B15" s="341">
        <f>(1+IRR(B14:EP14,0.01))^12-1</f>
        <v>9.7213201419261708E-2</v>
      </c>
      <c r="C15" s="342"/>
    </row>
    <row r="16" spans="1:146">
      <c r="B16" s="336">
        <f>IRR(B14:EP14,0.01)</f>
        <v>7.7610883127708025E-3</v>
      </c>
      <c r="I16" s="332">
        <f>B3</f>
        <v>37500</v>
      </c>
      <c r="J16" s="332">
        <f>I16</f>
        <v>37500</v>
      </c>
      <c r="K16" s="332">
        <f>J16</f>
        <v>37500</v>
      </c>
      <c r="L16" s="332">
        <f>K16</f>
        <v>37500</v>
      </c>
      <c r="M16" s="332">
        <f>L16</f>
        <v>37500</v>
      </c>
      <c r="N16" s="332">
        <f>M16</f>
        <v>37500</v>
      </c>
    </row>
    <row r="17" spans="1:14">
      <c r="A17" s="332" t="s">
        <v>217</v>
      </c>
      <c r="B17" s="343">
        <f>NPV(0.1/12,C14:EP14)</f>
        <v>3017448.2560397098</v>
      </c>
      <c r="C17" s="342"/>
      <c r="N17" s="344">
        <f>H7*(1+B4/12)^6+N7</f>
        <v>10229261.175517496</v>
      </c>
    </row>
    <row r="18" spans="1:14">
      <c r="B18" s="337">
        <f>NPV(B$4/12,C18:N18)</f>
        <v>9351980.8636226431</v>
      </c>
      <c r="C18" s="332">
        <v>0</v>
      </c>
      <c r="D18" s="332">
        <v>0</v>
      </c>
      <c r="E18" s="332">
        <v>0</v>
      </c>
      <c r="F18" s="332">
        <v>0</v>
      </c>
      <c r="G18" s="332">
        <v>0</v>
      </c>
      <c r="H18" s="332">
        <v>0</v>
      </c>
      <c r="I18" s="332">
        <v>0</v>
      </c>
      <c r="J18" s="332">
        <v>0</v>
      </c>
      <c r="K18" s="332">
        <v>0</v>
      </c>
      <c r="L18" s="332">
        <v>0</v>
      </c>
      <c r="M18" s="332">
        <v>0</v>
      </c>
      <c r="N18" s="344">
        <f>H7+N7+I16*(1+B4/12)^5+J16*(1+B4/12)^4+K16*(1+B4/12)^3+L16*(1+B4/12)^2+M16*(1+B4/12)+N16</f>
        <v>10229261.175517492</v>
      </c>
    </row>
    <row r="19" spans="1:14">
      <c r="B19" s="338">
        <f>NPV(B$5/12,C19:N19)</f>
        <v>5888892.4210710097</v>
      </c>
      <c r="C19" s="339">
        <v>0</v>
      </c>
      <c r="D19" s="339">
        <v>0</v>
      </c>
      <c r="E19" s="339">
        <v>0</v>
      </c>
      <c r="F19" s="339">
        <v>0</v>
      </c>
      <c r="G19" s="339">
        <v>0</v>
      </c>
      <c r="H19" s="339">
        <v>0</v>
      </c>
      <c r="I19" s="339">
        <v>0</v>
      </c>
      <c r="J19" s="339">
        <v>0</v>
      </c>
      <c r="K19" s="339">
        <v>0</v>
      </c>
      <c r="L19" s="339">
        <v>0</v>
      </c>
      <c r="M19" s="339">
        <v>0</v>
      </c>
      <c r="N19" s="345">
        <f>E8*(1+B5/12)^9+H8*(1+B5/12)^6+K8*(1+B5/12)^3+N8</f>
        <v>6068008.7192185838</v>
      </c>
    </row>
    <row r="20" spans="1:14">
      <c r="B20" s="337">
        <f t="shared" ref="B20:N20" si="40">B18-B19</f>
        <v>3463088.4425516333</v>
      </c>
      <c r="C20" s="340">
        <f t="shared" si="40"/>
        <v>0</v>
      </c>
      <c r="D20" s="340">
        <f t="shared" si="40"/>
        <v>0</v>
      </c>
      <c r="E20" s="340">
        <f t="shared" si="40"/>
        <v>0</v>
      </c>
      <c r="F20" s="340">
        <f t="shared" si="40"/>
        <v>0</v>
      </c>
      <c r="G20" s="340">
        <f t="shared" si="40"/>
        <v>0</v>
      </c>
      <c r="H20" s="340">
        <f t="shared" si="40"/>
        <v>0</v>
      </c>
      <c r="I20" s="340">
        <f t="shared" si="40"/>
        <v>0</v>
      </c>
      <c r="J20" s="340">
        <f t="shared" si="40"/>
        <v>0</v>
      </c>
      <c r="K20" s="340">
        <f t="shared" si="40"/>
        <v>0</v>
      </c>
      <c r="L20" s="340">
        <f t="shared" si="40"/>
        <v>0</v>
      </c>
      <c r="M20" s="340">
        <f t="shared" si="40"/>
        <v>0</v>
      </c>
      <c r="N20" s="340">
        <f t="shared" si="40"/>
        <v>4161252.4562989082</v>
      </c>
    </row>
    <row r="21" spans="1:14">
      <c r="B21" s="337">
        <f>-B20</f>
        <v>-3463088.4425516333</v>
      </c>
      <c r="C21" s="340">
        <f t="shared" ref="C21:N21" si="41">C20</f>
        <v>0</v>
      </c>
      <c r="D21" s="340">
        <f t="shared" si="41"/>
        <v>0</v>
      </c>
      <c r="E21" s="340">
        <f t="shared" si="41"/>
        <v>0</v>
      </c>
      <c r="F21" s="340">
        <f t="shared" si="41"/>
        <v>0</v>
      </c>
      <c r="G21" s="340">
        <f t="shared" si="41"/>
        <v>0</v>
      </c>
      <c r="H21" s="340">
        <f t="shared" si="41"/>
        <v>0</v>
      </c>
      <c r="I21" s="340">
        <f t="shared" si="41"/>
        <v>0</v>
      </c>
      <c r="J21" s="340">
        <f t="shared" si="41"/>
        <v>0</v>
      </c>
      <c r="K21" s="340">
        <f t="shared" si="41"/>
        <v>0</v>
      </c>
      <c r="L21" s="340">
        <f t="shared" si="41"/>
        <v>0</v>
      </c>
      <c r="M21" s="340">
        <f t="shared" si="41"/>
        <v>0</v>
      </c>
      <c r="N21" s="340">
        <f t="shared" si="41"/>
        <v>4161252.4562989082</v>
      </c>
    </row>
    <row r="22" spans="1:14">
      <c r="A22" s="332" t="s">
        <v>216</v>
      </c>
      <c r="B22" s="373">
        <f>(1+IRR(B21:N21,0.1))^12-1</f>
        <v>0.20160155460334339</v>
      </c>
      <c r="C22" s="346">
        <f>B22-C5</f>
        <v>0.17118559768983665</v>
      </c>
      <c r="D22" s="335" t="s">
        <v>218</v>
      </c>
    </row>
    <row r="23" spans="1:14">
      <c r="A23" s="332" t="s">
        <v>219</v>
      </c>
      <c r="B23" s="346">
        <f>C5+(B18/B20)*(C4-C5)</f>
        <v>0.20160155460334328</v>
      </c>
    </row>
    <row r="24" spans="1:14">
      <c r="A24" s="332" t="s">
        <v>220</v>
      </c>
      <c r="B24" s="346">
        <f>(N18-N19)*(1+C4)*(1+C5)/(N18*(1+C5)-N19*(1+C4))-1</f>
        <v>0.20160155460334384</v>
      </c>
      <c r="D24" s="332">
        <f>N18/(1+C4)-N19/(1+C5)</f>
        <v>3463088.4425516278</v>
      </c>
      <c r="E24" s="332">
        <f>N18/(1+C4)</f>
        <v>9351980.8636226393</v>
      </c>
    </row>
    <row r="25" spans="1:14">
      <c r="A25" s="332" t="s">
        <v>220</v>
      </c>
      <c r="B25" s="346">
        <f>(1+((N18-N19)*(1+B4/12)^12*(1+B5/12)^12/(N18*(1+B5/12)^12-N19*(1+B4/12)^12))^(1/12)-1)^12-1</f>
        <v>0.20160155460333984</v>
      </c>
      <c r="C25" s="332">
        <f>((N18-N19)*(1+B4/12)^12*(1+B5/12)^12/(N18*(1+B5/12)^12-N19*(1+B4/12)^12))^(1/12)-1</f>
        <v>1.5422323258514448E-2</v>
      </c>
      <c r="D25" s="332">
        <f>N20/(1+B25)</f>
        <v>3463088.4425516389</v>
      </c>
      <c r="E25" s="332">
        <f>N19/(1+C5)</f>
        <v>5888892.4210710116</v>
      </c>
    </row>
    <row r="26" spans="1:14">
      <c r="B26" s="347">
        <f>(B22-C5)/(C4-C5)</f>
        <v>2.7004741630947287</v>
      </c>
      <c r="C26" s="332">
        <f>B18/B20</f>
        <v>2.7004741630947269</v>
      </c>
    </row>
    <row r="27" spans="1:14">
      <c r="A27" s="332" t="s">
        <v>221</v>
      </c>
      <c r="B27" s="336">
        <v>6.3350000000000004E-2</v>
      </c>
    </row>
    <row r="28" spans="1:14">
      <c r="A28" s="332" t="s">
        <v>222</v>
      </c>
      <c r="B28" s="348">
        <v>0.05</v>
      </c>
    </row>
    <row r="29" spans="1:14">
      <c r="A29" s="332" t="s">
        <v>223</v>
      </c>
      <c r="B29" s="348">
        <v>0.25</v>
      </c>
    </row>
    <row r="30" spans="1:14">
      <c r="A30" s="332" t="s">
        <v>224</v>
      </c>
      <c r="B30" s="346"/>
      <c r="N30" s="344">
        <f>E8*(1+B27/12)^9+H8*(1+B27/12)^6+K8*(1+B27/12)^3+N8</f>
        <v>6144818.275448096</v>
      </c>
    </row>
    <row r="31" spans="1:14">
      <c r="A31" s="332" t="s">
        <v>225</v>
      </c>
      <c r="B31" s="346"/>
      <c r="N31" s="344">
        <f>(1-B28)*N30+B28*(1-B29)*N30</f>
        <v>6068008.0470049949</v>
      </c>
    </row>
    <row r="32" spans="1:14">
      <c r="A32" s="332" t="s">
        <v>226</v>
      </c>
      <c r="B32" s="346"/>
      <c r="N32" s="345">
        <f>E8*(1+B5/12)^9+H8*(1+B5/12)^6+K8*(1+B5/12)^3+N8</f>
        <v>6068008.7192185838</v>
      </c>
    </row>
    <row r="33" spans="1:14">
      <c r="A33" s="332" t="s">
        <v>227</v>
      </c>
      <c r="N33" s="344">
        <f>N31-N32</f>
        <v>-0.67221358884125948</v>
      </c>
    </row>
    <row r="35" spans="1:14">
      <c r="A35" s="332" t="s">
        <v>228</v>
      </c>
      <c r="B35" s="332">
        <f>1/0.9</f>
        <v>1.1111111111111112</v>
      </c>
    </row>
    <row r="36" spans="1:14">
      <c r="B36" s="332">
        <v>1500000</v>
      </c>
    </row>
    <row r="37" spans="1:14">
      <c r="B37" s="332">
        <f>B3</f>
        <v>37500</v>
      </c>
    </row>
    <row r="38" spans="1:14">
      <c r="B38" s="332">
        <v>0.09</v>
      </c>
      <c r="C38" s="336">
        <f>(1+B38/12)^12-1</f>
        <v>9.3806897670984268E-2</v>
      </c>
    </row>
    <row r="39" spans="1:14">
      <c r="B39" s="332">
        <v>0.03</v>
      </c>
      <c r="C39" s="336">
        <f>(1+B39/12)^12-1</f>
        <v>3.0415956913506736E-2</v>
      </c>
    </row>
    <row r="40" spans="1:14">
      <c r="C40" s="332">
        <v>1</v>
      </c>
      <c r="D40" s="332">
        <v>2</v>
      </c>
      <c r="E40" s="332">
        <v>3</v>
      </c>
      <c r="F40" s="332">
        <v>4</v>
      </c>
      <c r="G40" s="332">
        <v>5</v>
      </c>
      <c r="H40" s="332">
        <v>6</v>
      </c>
      <c r="I40" s="332">
        <v>7</v>
      </c>
      <c r="J40" s="332">
        <v>8</v>
      </c>
      <c r="K40" s="332">
        <v>9</v>
      </c>
      <c r="L40" s="332">
        <v>10</v>
      </c>
      <c r="M40" s="332">
        <v>11</v>
      </c>
      <c r="N40" s="332">
        <v>12</v>
      </c>
    </row>
    <row r="41" spans="1:14">
      <c r="B41" s="337">
        <f>NPV(B$4/12,C41:N41)</f>
        <v>9351980.8636226431</v>
      </c>
      <c r="C41" s="332">
        <v>0</v>
      </c>
      <c r="D41" s="332">
        <v>0</v>
      </c>
      <c r="E41" s="332">
        <v>0</v>
      </c>
      <c r="F41" s="332">
        <v>0</v>
      </c>
      <c r="G41" s="332">
        <v>0</v>
      </c>
      <c r="H41" s="332">
        <f>B37/(B38/12)</f>
        <v>5000000</v>
      </c>
      <c r="I41" s="332">
        <v>0</v>
      </c>
      <c r="J41" s="332">
        <v>0</v>
      </c>
      <c r="K41" s="332">
        <v>0</v>
      </c>
      <c r="L41" s="332">
        <v>0</v>
      </c>
      <c r="M41" s="332">
        <v>0</v>
      </c>
      <c r="N41" s="332">
        <f>B37/(B38/12)</f>
        <v>5000000</v>
      </c>
    </row>
    <row r="42" spans="1:14">
      <c r="B42" s="338">
        <f>NPV(B$5/12,C42:N42)</f>
        <v>5888892.4210710116</v>
      </c>
      <c r="C42" s="339">
        <v>0</v>
      </c>
      <c r="D42" s="339">
        <v>0</v>
      </c>
      <c r="E42" s="339">
        <f>B36</f>
        <v>1500000</v>
      </c>
      <c r="F42" s="339">
        <v>0</v>
      </c>
      <c r="G42" s="339">
        <v>0</v>
      </c>
      <c r="H42" s="339">
        <f>B36</f>
        <v>1500000</v>
      </c>
      <c r="I42" s="339">
        <v>0</v>
      </c>
      <c r="J42" s="339">
        <v>0</v>
      </c>
      <c r="K42" s="339">
        <f>B36</f>
        <v>1500000</v>
      </c>
      <c r="L42" s="339">
        <v>0</v>
      </c>
      <c r="M42" s="339">
        <v>0</v>
      </c>
      <c r="N42" s="339">
        <f>B36</f>
        <v>1500000</v>
      </c>
    </row>
    <row r="43" spans="1:14">
      <c r="B43" s="337">
        <f t="shared" ref="B43:N43" si="42">B41-B42</f>
        <v>3463088.4425516315</v>
      </c>
      <c r="C43" s="340">
        <f t="shared" si="42"/>
        <v>0</v>
      </c>
      <c r="D43" s="340">
        <f t="shared" si="42"/>
        <v>0</v>
      </c>
      <c r="E43" s="340">
        <f t="shared" si="42"/>
        <v>-1500000</v>
      </c>
      <c r="F43" s="340">
        <f t="shared" si="42"/>
        <v>0</v>
      </c>
      <c r="G43" s="340">
        <f t="shared" si="42"/>
        <v>0</v>
      </c>
      <c r="H43" s="340">
        <f t="shared" si="42"/>
        <v>3500000</v>
      </c>
      <c r="I43" s="340">
        <f t="shared" si="42"/>
        <v>0</v>
      </c>
      <c r="J43" s="340">
        <f t="shared" si="42"/>
        <v>0</v>
      </c>
      <c r="K43" s="340">
        <f t="shared" si="42"/>
        <v>-1500000</v>
      </c>
      <c r="L43" s="340">
        <f t="shared" si="42"/>
        <v>0</v>
      </c>
      <c r="M43" s="340">
        <f t="shared" si="42"/>
        <v>0</v>
      </c>
      <c r="N43" s="340">
        <f t="shared" si="42"/>
        <v>3500000</v>
      </c>
    </row>
    <row r="44" spans="1:14">
      <c r="B44" s="337">
        <f>B10</f>
        <v>-3463088.4425516315</v>
      </c>
      <c r="C44" s="340">
        <f t="shared" ref="C44:N44" si="43">C43</f>
        <v>0</v>
      </c>
      <c r="D44" s="340">
        <f t="shared" si="43"/>
        <v>0</v>
      </c>
      <c r="E44" s="340">
        <f t="shared" si="43"/>
        <v>-1500000</v>
      </c>
      <c r="F44" s="340">
        <f t="shared" si="43"/>
        <v>0</v>
      </c>
      <c r="G44" s="340">
        <f t="shared" si="43"/>
        <v>0</v>
      </c>
      <c r="H44" s="340">
        <f t="shared" si="43"/>
        <v>3500000</v>
      </c>
      <c r="I44" s="340">
        <f t="shared" si="43"/>
        <v>0</v>
      </c>
      <c r="J44" s="340">
        <f t="shared" si="43"/>
        <v>0</v>
      </c>
      <c r="K44" s="340">
        <f t="shared" si="43"/>
        <v>-1500000</v>
      </c>
      <c r="L44" s="340">
        <f t="shared" si="43"/>
        <v>0</v>
      </c>
      <c r="M44" s="340">
        <f t="shared" si="43"/>
        <v>0</v>
      </c>
      <c r="N44" s="340">
        <f t="shared" si="43"/>
        <v>3500000</v>
      </c>
    </row>
    <row r="45" spans="1:14">
      <c r="A45" s="332" t="s">
        <v>216</v>
      </c>
      <c r="B45" s="336">
        <f>(1+IRR(B44:N44,0.1))^12-1</f>
        <v>0.16586446411253375</v>
      </c>
    </row>
    <row r="46" spans="1:14">
      <c r="I46" s="332">
        <f>B37</f>
        <v>37500</v>
      </c>
      <c r="J46" s="332">
        <f>I46</f>
        <v>37500</v>
      </c>
      <c r="K46" s="332">
        <f>J46</f>
        <v>37500</v>
      </c>
      <c r="L46" s="332">
        <f>K46</f>
        <v>37500</v>
      </c>
      <c r="M46" s="332">
        <f>L46</f>
        <v>37500</v>
      </c>
      <c r="N46" s="332">
        <f>M46</f>
        <v>37500</v>
      </c>
    </row>
    <row r="47" spans="1:14">
      <c r="N47" s="344">
        <f>H41*(1+B38/12)^6+N41*B35+N41*B35-N41</f>
        <v>11340372.286628608</v>
      </c>
    </row>
    <row r="48" spans="1:14">
      <c r="B48" s="337">
        <f>NPV(B$4/12,C48:N48)</f>
        <v>10367801.035791034</v>
      </c>
      <c r="C48" s="332">
        <v>0</v>
      </c>
      <c r="D48" s="332">
        <v>0</v>
      </c>
      <c r="E48" s="332">
        <v>0</v>
      </c>
      <c r="F48" s="332">
        <v>0</v>
      </c>
      <c r="G48" s="332">
        <v>0</v>
      </c>
      <c r="H48" s="332">
        <v>0</v>
      </c>
      <c r="I48" s="332">
        <v>0</v>
      </c>
      <c r="J48" s="332">
        <v>0</v>
      </c>
      <c r="K48" s="332">
        <v>0</v>
      </c>
      <c r="L48" s="332">
        <v>0</v>
      </c>
      <c r="M48" s="332">
        <v>0</v>
      </c>
      <c r="N48" s="344">
        <f>(H41+N41)*B35+I46*(1+B38/12)^5+J46*(1+B38/12)^4+K46*(1+B38/12)^3+L46*(1+B38/12)^2+M46*(1+B38/12)+N46</f>
        <v>11340372.286628604</v>
      </c>
    </row>
    <row r="49" spans="1:14">
      <c r="B49" s="338">
        <f>NPV(B$5/12,C49:N49)</f>
        <v>5888892.4210710097</v>
      </c>
      <c r="C49" s="339">
        <v>0</v>
      </c>
      <c r="D49" s="339">
        <v>0</v>
      </c>
      <c r="E49" s="339">
        <v>0</v>
      </c>
      <c r="F49" s="339">
        <v>0</v>
      </c>
      <c r="G49" s="339">
        <v>0</v>
      </c>
      <c r="H49" s="339">
        <v>0</v>
      </c>
      <c r="I49" s="339">
        <v>0</v>
      </c>
      <c r="J49" s="339">
        <v>0</v>
      </c>
      <c r="K49" s="339">
        <v>0</v>
      </c>
      <c r="L49" s="339">
        <v>0</v>
      </c>
      <c r="M49" s="339">
        <v>0</v>
      </c>
      <c r="N49" s="345">
        <f>E42*(1+B39/12)^9+H42*(1+B39/12)^6+K42*(1+B39/12)^3+N42</f>
        <v>6068008.7192185838</v>
      </c>
    </row>
    <row r="50" spans="1:14">
      <c r="B50" s="337">
        <f t="shared" ref="B50:N50" si="44">B48-B49</f>
        <v>4478908.6147200242</v>
      </c>
      <c r="C50" s="340">
        <f t="shared" si="44"/>
        <v>0</v>
      </c>
      <c r="D50" s="340">
        <f t="shared" si="44"/>
        <v>0</v>
      </c>
      <c r="E50" s="340">
        <f t="shared" si="44"/>
        <v>0</v>
      </c>
      <c r="F50" s="340">
        <f t="shared" si="44"/>
        <v>0</v>
      </c>
      <c r="G50" s="340">
        <f t="shared" si="44"/>
        <v>0</v>
      </c>
      <c r="H50" s="340">
        <f t="shared" si="44"/>
        <v>0</v>
      </c>
      <c r="I50" s="340">
        <f t="shared" si="44"/>
        <v>0</v>
      </c>
      <c r="J50" s="340">
        <f t="shared" si="44"/>
        <v>0</v>
      </c>
      <c r="K50" s="340">
        <f t="shared" si="44"/>
        <v>0</v>
      </c>
      <c r="L50" s="340">
        <f t="shared" si="44"/>
        <v>0</v>
      </c>
      <c r="M50" s="340">
        <f t="shared" si="44"/>
        <v>0</v>
      </c>
      <c r="N50" s="340">
        <f t="shared" si="44"/>
        <v>5272363.5674100202</v>
      </c>
    </row>
    <row r="51" spans="1:14">
      <c r="B51" s="337">
        <f>B21</f>
        <v>-3463088.4425516333</v>
      </c>
      <c r="C51" s="340">
        <f t="shared" ref="C51:N51" si="45">C50</f>
        <v>0</v>
      </c>
      <c r="D51" s="340">
        <f t="shared" si="45"/>
        <v>0</v>
      </c>
      <c r="E51" s="340">
        <f t="shared" si="45"/>
        <v>0</v>
      </c>
      <c r="F51" s="340">
        <f t="shared" si="45"/>
        <v>0</v>
      </c>
      <c r="G51" s="340">
        <f t="shared" si="45"/>
        <v>0</v>
      </c>
      <c r="H51" s="340">
        <f t="shared" si="45"/>
        <v>0</v>
      </c>
      <c r="I51" s="340">
        <f t="shared" si="45"/>
        <v>0</v>
      </c>
      <c r="J51" s="340">
        <f t="shared" si="45"/>
        <v>0</v>
      </c>
      <c r="K51" s="340">
        <f t="shared" si="45"/>
        <v>0</v>
      </c>
      <c r="L51" s="340">
        <f t="shared" si="45"/>
        <v>0</v>
      </c>
      <c r="M51" s="340">
        <f t="shared" si="45"/>
        <v>0</v>
      </c>
      <c r="N51" s="340">
        <f t="shared" si="45"/>
        <v>5272363.5674100202</v>
      </c>
    </row>
    <row r="52" spans="1:14">
      <c r="A52" s="332" t="s">
        <v>216</v>
      </c>
      <c r="B52" s="346">
        <f>(1+IRR(B51:N51,0.1))^12-1</f>
        <v>0.52244554387565323</v>
      </c>
      <c r="C52" s="346">
        <f>B52-C39</f>
        <v>0.49202958696214649</v>
      </c>
      <c r="D52" s="335" t="s">
        <v>229</v>
      </c>
      <c r="F52" s="336">
        <f>C52-C22</f>
        <v>0.32084398927230984</v>
      </c>
    </row>
    <row r="53" spans="1:14">
      <c r="B53" s="344">
        <f>-10000000</f>
        <v>-10000000</v>
      </c>
      <c r="C53" s="332">
        <f>B$37*2</f>
        <v>75000</v>
      </c>
      <c r="D53" s="332">
        <f t="shared" ref="D53:M53" si="46">C53</f>
        <v>75000</v>
      </c>
      <c r="E53" s="332">
        <f t="shared" si="46"/>
        <v>75000</v>
      </c>
      <c r="F53" s="332">
        <f t="shared" si="46"/>
        <v>75000</v>
      </c>
      <c r="G53" s="332">
        <f t="shared" si="46"/>
        <v>75000</v>
      </c>
      <c r="H53" s="332">
        <f t="shared" si="46"/>
        <v>75000</v>
      </c>
      <c r="I53" s="332">
        <f t="shared" si="46"/>
        <v>75000</v>
      </c>
      <c r="J53" s="332">
        <f t="shared" si="46"/>
        <v>75000</v>
      </c>
      <c r="K53" s="332">
        <f t="shared" si="46"/>
        <v>75000</v>
      </c>
      <c r="L53" s="332">
        <f t="shared" si="46"/>
        <v>75000</v>
      </c>
      <c r="M53" s="332">
        <f t="shared" si="46"/>
        <v>75000</v>
      </c>
      <c r="N53" s="332">
        <f>M53+10000000</f>
        <v>10075000</v>
      </c>
    </row>
    <row r="54" spans="1:14">
      <c r="A54" s="332" t="s">
        <v>216</v>
      </c>
      <c r="B54" s="346">
        <f>(1+IRR(B53:N53,0.1))^12-1</f>
        <v>9.3806897670984268E-2</v>
      </c>
    </row>
    <row r="55" spans="1:14">
      <c r="B55" s="344">
        <f>-10000000</f>
        <v>-10000000</v>
      </c>
      <c r="C55" s="332">
        <f>B$37*2</f>
        <v>75000</v>
      </c>
      <c r="D55" s="332">
        <f t="shared" ref="D55:M55" si="47">C55</f>
        <v>75000</v>
      </c>
      <c r="E55" s="332">
        <f t="shared" si="47"/>
        <v>75000</v>
      </c>
      <c r="F55" s="332">
        <f t="shared" si="47"/>
        <v>75000</v>
      </c>
      <c r="G55" s="332">
        <f t="shared" si="47"/>
        <v>75000</v>
      </c>
      <c r="H55" s="332">
        <f t="shared" si="47"/>
        <v>75000</v>
      </c>
      <c r="I55" s="332">
        <f t="shared" si="47"/>
        <v>75000</v>
      </c>
      <c r="J55" s="332">
        <f t="shared" si="47"/>
        <v>75000</v>
      </c>
      <c r="K55" s="332">
        <f t="shared" si="47"/>
        <v>75000</v>
      </c>
      <c r="L55" s="332">
        <f t="shared" si="47"/>
        <v>75000</v>
      </c>
      <c r="M55" s="332">
        <f t="shared" si="47"/>
        <v>75000</v>
      </c>
      <c r="N55" s="332">
        <f>M55+10000000*B35</f>
        <v>11186111.111111112</v>
      </c>
    </row>
    <row r="56" spans="1:14">
      <c r="A56" s="332" t="s">
        <v>216</v>
      </c>
      <c r="B56" s="346">
        <f>(1+IRR(B55:N55,0.1))^12-1</f>
        <v>0.20945462989262342</v>
      </c>
      <c r="C56" s="346">
        <f>B56-C39</f>
        <v>0.17903867297911669</v>
      </c>
      <c r="D56" s="335" t="s">
        <v>229</v>
      </c>
      <c r="F56" s="336">
        <f>C56-(B54-C39)</f>
        <v>0.11564773222163915</v>
      </c>
    </row>
    <row r="57" spans="1:14">
      <c r="B57" s="334">
        <f>-(10000000/(1+B38/12)^12-B49)</f>
        <v>-3253489.1284444947</v>
      </c>
      <c r="C57" s="344">
        <v>0</v>
      </c>
      <c r="D57" s="335">
        <v>0</v>
      </c>
      <c r="E57" s="332">
        <v>0</v>
      </c>
      <c r="F57" s="344">
        <v>0</v>
      </c>
      <c r="G57" s="332">
        <v>0</v>
      </c>
      <c r="H57" s="332">
        <v>0</v>
      </c>
      <c r="I57" s="332">
        <v>0</v>
      </c>
      <c r="J57" s="332">
        <v>0</v>
      </c>
      <c r="K57" s="332">
        <v>0</v>
      </c>
      <c r="L57" s="332">
        <v>0</v>
      </c>
      <c r="M57" s="332">
        <v>0</v>
      </c>
      <c r="N57" s="344">
        <f>N41*2*B35-N49</f>
        <v>5043102.3918925282</v>
      </c>
    </row>
    <row r="58" spans="1:14">
      <c r="A58" s="332" t="s">
        <v>216</v>
      </c>
      <c r="B58" s="346">
        <f>(1+IRR(B57:N57,0.1))^12-1</f>
        <v>0.5500597029207388</v>
      </c>
      <c r="C58" s="346">
        <f>B58-C39</f>
        <v>0.51964374600723207</v>
      </c>
      <c r="D58" s="335" t="s">
        <v>229</v>
      </c>
      <c r="F58" s="347">
        <f>C58/C$22</f>
        <v>3.0355576229534846</v>
      </c>
    </row>
    <row r="59" spans="1:14">
      <c r="A59" s="332" t="s">
        <v>230</v>
      </c>
      <c r="B59" s="349">
        <f>F52/F56</f>
        <v>2.7743214943239143</v>
      </c>
    </row>
    <row r="60" spans="1:14">
      <c r="A60" s="332" t="s">
        <v>230</v>
      </c>
      <c r="B60" s="349">
        <f>C52/C56</f>
        <v>2.7481748986127568</v>
      </c>
    </row>
    <row r="61" spans="1:14">
      <c r="A61" s="332" t="s">
        <v>231</v>
      </c>
      <c r="B61" s="349">
        <f>B18/B20</f>
        <v>2.7004741630947269</v>
      </c>
    </row>
    <row r="62" spans="1:14">
      <c r="A62" s="332" t="s">
        <v>232</v>
      </c>
      <c r="B62" s="347">
        <f>N18/(N18-N19)</f>
        <v>2.4582169149659281</v>
      </c>
    </row>
    <row r="63" spans="1:14">
      <c r="A63" s="332" t="s">
        <v>233</v>
      </c>
      <c r="B63" s="350">
        <f>N18/B20</f>
        <v>2.9537972665752896</v>
      </c>
    </row>
    <row r="64" spans="1:14">
      <c r="B64" s="347">
        <f>C58/C56</f>
        <v>2.9024106209044791</v>
      </c>
    </row>
    <row r="65" spans="1:14">
      <c r="B65" s="351">
        <f>-(10000000/(1+B38/12)^12)/B57</f>
        <v>2.8100236972011987</v>
      </c>
    </row>
    <row r="66" spans="1:14">
      <c r="A66" s="332" t="s">
        <v>228</v>
      </c>
      <c r="B66" s="332">
        <f>1/B35</f>
        <v>0.89999999999999991</v>
      </c>
    </row>
    <row r="67" spans="1:14">
      <c r="B67" s="332">
        <f>B36</f>
        <v>1500000</v>
      </c>
    </row>
    <row r="68" spans="1:14">
      <c r="B68" s="332">
        <f>B37</f>
        <v>37500</v>
      </c>
    </row>
    <row r="69" spans="1:14">
      <c r="B69" s="332">
        <v>0.09</v>
      </c>
      <c r="C69" s="336">
        <f>(1+B69/12)^12-1</f>
        <v>9.3806897670984268E-2</v>
      </c>
    </row>
    <row r="70" spans="1:14">
      <c r="B70" s="332">
        <v>0.03</v>
      </c>
      <c r="C70" s="336">
        <f>(1+B70/12)^12-1</f>
        <v>3.0415956913506736E-2</v>
      </c>
    </row>
    <row r="71" spans="1:14">
      <c r="C71" s="332">
        <v>1</v>
      </c>
      <c r="D71" s="332">
        <v>2</v>
      </c>
      <c r="E71" s="332">
        <v>3</v>
      </c>
      <c r="F71" s="332">
        <v>4</v>
      </c>
      <c r="G71" s="332">
        <v>5</v>
      </c>
      <c r="H71" s="332">
        <v>6</v>
      </c>
      <c r="I71" s="332">
        <v>7</v>
      </c>
      <c r="J71" s="332">
        <v>8</v>
      </c>
      <c r="K71" s="332">
        <v>9</v>
      </c>
      <c r="L71" s="332">
        <v>10</v>
      </c>
      <c r="M71" s="332">
        <v>11</v>
      </c>
      <c r="N71" s="332">
        <v>12</v>
      </c>
    </row>
    <row r="72" spans="1:14">
      <c r="B72" s="337">
        <f>NPV(B$4/12,C72:N72)</f>
        <v>9351980.8636226431</v>
      </c>
      <c r="C72" s="332">
        <v>0</v>
      </c>
      <c r="D72" s="332">
        <v>0</v>
      </c>
      <c r="E72" s="332">
        <v>0</v>
      </c>
      <c r="F72" s="332">
        <v>0</v>
      </c>
      <c r="G72" s="332">
        <v>0</v>
      </c>
      <c r="H72" s="332">
        <f>B68/(B69/12)</f>
        <v>5000000</v>
      </c>
      <c r="I72" s="332">
        <v>0</v>
      </c>
      <c r="J72" s="332">
        <v>0</v>
      </c>
      <c r="K72" s="332">
        <v>0</v>
      </c>
      <c r="L72" s="332">
        <v>0</v>
      </c>
      <c r="M72" s="332">
        <v>0</v>
      </c>
      <c r="N72" s="332">
        <f>B68/(B69/12)</f>
        <v>5000000</v>
      </c>
    </row>
    <row r="73" spans="1:14">
      <c r="B73" s="338">
        <f>NPV(B$5/12,C73:N73)</f>
        <v>5888892.4210710116</v>
      </c>
      <c r="C73" s="339">
        <v>0</v>
      </c>
      <c r="D73" s="339">
        <v>0</v>
      </c>
      <c r="E73" s="339">
        <f>B67</f>
        <v>1500000</v>
      </c>
      <c r="F73" s="339">
        <v>0</v>
      </c>
      <c r="G73" s="339">
        <v>0</v>
      </c>
      <c r="H73" s="339">
        <f>B67</f>
        <v>1500000</v>
      </c>
      <c r="I73" s="339">
        <v>0</v>
      </c>
      <c r="J73" s="339">
        <v>0</v>
      </c>
      <c r="K73" s="339">
        <f>B67</f>
        <v>1500000</v>
      </c>
      <c r="L73" s="339">
        <v>0</v>
      </c>
      <c r="M73" s="339">
        <v>0</v>
      </c>
      <c r="N73" s="339">
        <f>B67</f>
        <v>1500000</v>
      </c>
    </row>
    <row r="74" spans="1:14">
      <c r="B74" s="337">
        <f t="shared" ref="B74:N74" si="48">B72-B73</f>
        <v>3463088.4425516315</v>
      </c>
      <c r="C74" s="340">
        <f t="shared" si="48"/>
        <v>0</v>
      </c>
      <c r="D74" s="340">
        <f t="shared" si="48"/>
        <v>0</v>
      </c>
      <c r="E74" s="340">
        <f t="shared" si="48"/>
        <v>-1500000</v>
      </c>
      <c r="F74" s="340">
        <f t="shared" si="48"/>
        <v>0</v>
      </c>
      <c r="G74" s="340">
        <f t="shared" si="48"/>
        <v>0</v>
      </c>
      <c r="H74" s="340">
        <f t="shared" si="48"/>
        <v>3500000</v>
      </c>
      <c r="I74" s="340">
        <f t="shared" si="48"/>
        <v>0</v>
      </c>
      <c r="J74" s="340">
        <f t="shared" si="48"/>
        <v>0</v>
      </c>
      <c r="K74" s="340">
        <f t="shared" si="48"/>
        <v>-1500000</v>
      </c>
      <c r="L74" s="340">
        <f t="shared" si="48"/>
        <v>0</v>
      </c>
      <c r="M74" s="340">
        <f t="shared" si="48"/>
        <v>0</v>
      </c>
      <c r="N74" s="340">
        <f t="shared" si="48"/>
        <v>3500000</v>
      </c>
    </row>
    <row r="75" spans="1:14">
      <c r="B75" s="337">
        <f>B44</f>
        <v>-3463088.4425516315</v>
      </c>
      <c r="C75" s="340">
        <f t="shared" ref="C75:N75" si="49">C74</f>
        <v>0</v>
      </c>
      <c r="D75" s="340">
        <f t="shared" si="49"/>
        <v>0</v>
      </c>
      <c r="E75" s="340">
        <f t="shared" si="49"/>
        <v>-1500000</v>
      </c>
      <c r="F75" s="340">
        <f t="shared" si="49"/>
        <v>0</v>
      </c>
      <c r="G75" s="340">
        <f t="shared" si="49"/>
        <v>0</v>
      </c>
      <c r="H75" s="340">
        <f t="shared" si="49"/>
        <v>3500000</v>
      </c>
      <c r="I75" s="340">
        <f t="shared" si="49"/>
        <v>0</v>
      </c>
      <c r="J75" s="340">
        <f t="shared" si="49"/>
        <v>0</v>
      </c>
      <c r="K75" s="340">
        <f t="shared" si="49"/>
        <v>-1500000</v>
      </c>
      <c r="L75" s="340">
        <f t="shared" si="49"/>
        <v>0</v>
      </c>
      <c r="M75" s="340">
        <f t="shared" si="49"/>
        <v>0</v>
      </c>
      <c r="N75" s="340">
        <f t="shared" si="49"/>
        <v>3500000</v>
      </c>
    </row>
    <row r="76" spans="1:14">
      <c r="A76" s="332" t="s">
        <v>216</v>
      </c>
      <c r="B76" s="336">
        <f>(1+IRR(B75:N75,0.1))^12-1</f>
        <v>0.16586446411253375</v>
      </c>
    </row>
    <row r="77" spans="1:14">
      <c r="I77" s="332">
        <f>B68</f>
        <v>37500</v>
      </c>
      <c r="J77" s="332">
        <f>I77</f>
        <v>37500</v>
      </c>
      <c r="K77" s="332">
        <f>J77</f>
        <v>37500</v>
      </c>
      <c r="L77" s="332">
        <f>K77</f>
        <v>37500</v>
      </c>
      <c r="M77" s="332">
        <f>L77</f>
        <v>37500</v>
      </c>
      <c r="N77" s="332">
        <f>M77</f>
        <v>37500</v>
      </c>
    </row>
    <row r="78" spans="1:14">
      <c r="N78" s="344">
        <f>H72*(1+B69/12)^6+N72*B66+N72*B66-N72</f>
        <v>9229261.1755174957</v>
      </c>
    </row>
    <row r="79" spans="1:14">
      <c r="B79" s="337">
        <f>NPV(B$4/12,C79:N79)</f>
        <v>8437742.708671093</v>
      </c>
      <c r="C79" s="332">
        <v>0</v>
      </c>
      <c r="D79" s="332">
        <v>0</v>
      </c>
      <c r="E79" s="332">
        <v>0</v>
      </c>
      <c r="F79" s="332">
        <v>0</v>
      </c>
      <c r="G79" s="332">
        <v>0</v>
      </c>
      <c r="H79" s="332">
        <v>0</v>
      </c>
      <c r="I79" s="332">
        <v>0</v>
      </c>
      <c r="J79" s="332">
        <v>0</v>
      </c>
      <c r="K79" s="332">
        <v>0</v>
      </c>
      <c r="L79" s="332">
        <v>0</v>
      </c>
      <c r="M79" s="332">
        <v>0</v>
      </c>
      <c r="N79" s="344">
        <f>(H72+N72)*B66+I77*(1+B69/12)^5+J77*(1+B69/12)^4+K77*(1+B69/12)^3+L77*(1+B69/12)^2+M77*(1+B69/12)+N77</f>
        <v>9229261.175517492</v>
      </c>
    </row>
    <row r="80" spans="1:14">
      <c r="B80" s="338">
        <f>NPV(B$5/12,C80:N80)</f>
        <v>5888892.4210710097</v>
      </c>
      <c r="C80" s="339">
        <v>0</v>
      </c>
      <c r="D80" s="339">
        <v>0</v>
      </c>
      <c r="E80" s="339">
        <v>0</v>
      </c>
      <c r="F80" s="339">
        <v>0</v>
      </c>
      <c r="G80" s="339">
        <v>0</v>
      </c>
      <c r="H80" s="339">
        <v>0</v>
      </c>
      <c r="I80" s="339">
        <v>0</v>
      </c>
      <c r="J80" s="339">
        <v>0</v>
      </c>
      <c r="K80" s="339">
        <v>0</v>
      </c>
      <c r="L80" s="339">
        <v>0</v>
      </c>
      <c r="M80" s="339">
        <v>0</v>
      </c>
      <c r="N80" s="345">
        <f>E73*(1+B70/12)^9+H73*(1+B70/12)^6+K73*(1+B70/12)^3+N73</f>
        <v>6068008.7192185838</v>
      </c>
    </row>
    <row r="81" spans="1:14">
      <c r="B81" s="337">
        <f t="shared" ref="B81:N81" si="50">B79-B80</f>
        <v>2548850.2876000833</v>
      </c>
      <c r="C81" s="340">
        <f t="shared" si="50"/>
        <v>0</v>
      </c>
      <c r="D81" s="340">
        <f t="shared" si="50"/>
        <v>0</v>
      </c>
      <c r="E81" s="340">
        <f t="shared" si="50"/>
        <v>0</v>
      </c>
      <c r="F81" s="340">
        <f t="shared" si="50"/>
        <v>0</v>
      </c>
      <c r="G81" s="340">
        <f t="shared" si="50"/>
        <v>0</v>
      </c>
      <c r="H81" s="340">
        <f t="shared" si="50"/>
        <v>0</v>
      </c>
      <c r="I81" s="340">
        <f t="shared" si="50"/>
        <v>0</v>
      </c>
      <c r="J81" s="340">
        <f t="shared" si="50"/>
        <v>0</v>
      </c>
      <c r="K81" s="340">
        <f t="shared" si="50"/>
        <v>0</v>
      </c>
      <c r="L81" s="340">
        <f t="shared" si="50"/>
        <v>0</v>
      </c>
      <c r="M81" s="340">
        <f t="shared" si="50"/>
        <v>0</v>
      </c>
      <c r="N81" s="340">
        <f t="shared" si="50"/>
        <v>3161252.4562989082</v>
      </c>
    </row>
    <row r="82" spans="1:14">
      <c r="B82" s="337">
        <f>B51</f>
        <v>-3463088.4425516333</v>
      </c>
      <c r="C82" s="340">
        <f t="shared" ref="C82:N82" si="51">C81</f>
        <v>0</v>
      </c>
      <c r="D82" s="340">
        <f t="shared" si="51"/>
        <v>0</v>
      </c>
      <c r="E82" s="340">
        <f t="shared" si="51"/>
        <v>0</v>
      </c>
      <c r="F82" s="340">
        <f t="shared" si="51"/>
        <v>0</v>
      </c>
      <c r="G82" s="340">
        <f t="shared" si="51"/>
        <v>0</v>
      </c>
      <c r="H82" s="340">
        <f t="shared" si="51"/>
        <v>0</v>
      </c>
      <c r="I82" s="340">
        <f t="shared" si="51"/>
        <v>0</v>
      </c>
      <c r="J82" s="340">
        <f t="shared" si="51"/>
        <v>0</v>
      </c>
      <c r="K82" s="340">
        <f t="shared" si="51"/>
        <v>0</v>
      </c>
      <c r="L82" s="340">
        <f t="shared" si="51"/>
        <v>0</v>
      </c>
      <c r="M82" s="340">
        <f t="shared" si="51"/>
        <v>0</v>
      </c>
      <c r="N82" s="340">
        <f t="shared" si="51"/>
        <v>3161252.4562989082</v>
      </c>
    </row>
    <row r="83" spans="1:14">
      <c r="A83" s="332" t="s">
        <v>216</v>
      </c>
      <c r="B83" s="346">
        <f>(1+IRR(B82:N82,0.1))^12-1</f>
        <v>-8.7158035741742301E-2</v>
      </c>
      <c r="C83" s="346">
        <f>B83-C70</f>
        <v>-0.11757399265524904</v>
      </c>
      <c r="D83" s="335" t="s">
        <v>229</v>
      </c>
      <c r="F83" s="347">
        <f>C83/C$22</f>
        <v>-0.68682175511210919</v>
      </c>
    </row>
    <row r="84" spans="1:14">
      <c r="B84" s="344">
        <f>-10000000</f>
        <v>-10000000</v>
      </c>
      <c r="C84" s="332">
        <f>B$37*2</f>
        <v>75000</v>
      </c>
      <c r="D84" s="332">
        <f t="shared" ref="D84:M84" si="52">C84</f>
        <v>75000</v>
      </c>
      <c r="E84" s="332">
        <f t="shared" si="52"/>
        <v>75000</v>
      </c>
      <c r="F84" s="332">
        <f t="shared" si="52"/>
        <v>75000</v>
      </c>
      <c r="G84" s="332">
        <f t="shared" si="52"/>
        <v>75000</v>
      </c>
      <c r="H84" s="332">
        <f t="shared" si="52"/>
        <v>75000</v>
      </c>
      <c r="I84" s="332">
        <f t="shared" si="52"/>
        <v>75000</v>
      </c>
      <c r="J84" s="332">
        <f t="shared" si="52"/>
        <v>75000</v>
      </c>
      <c r="K84" s="332">
        <f t="shared" si="52"/>
        <v>75000</v>
      </c>
      <c r="L84" s="332">
        <f t="shared" si="52"/>
        <v>75000</v>
      </c>
      <c r="M84" s="332">
        <f t="shared" si="52"/>
        <v>75000</v>
      </c>
      <c r="N84" s="332">
        <f>M84+10000000</f>
        <v>10075000</v>
      </c>
    </row>
    <row r="85" spans="1:14">
      <c r="A85" s="332" t="s">
        <v>216</v>
      </c>
      <c r="B85" s="346">
        <f>(1+IRR(B84:N84,0.1))^12-1</f>
        <v>9.3806897670984268E-2</v>
      </c>
    </row>
    <row r="86" spans="1:14">
      <c r="B86" s="344">
        <f>-10000000</f>
        <v>-10000000</v>
      </c>
      <c r="C86" s="332">
        <f>B$37*2</f>
        <v>75000</v>
      </c>
      <c r="D86" s="332">
        <f t="shared" ref="D86:M86" si="53">C86</f>
        <v>75000</v>
      </c>
      <c r="E86" s="332">
        <f t="shared" si="53"/>
        <v>75000</v>
      </c>
      <c r="F86" s="332">
        <f t="shared" si="53"/>
        <v>75000</v>
      </c>
      <c r="G86" s="332">
        <f t="shared" si="53"/>
        <v>75000</v>
      </c>
      <c r="H86" s="332">
        <f t="shared" si="53"/>
        <v>75000</v>
      </c>
      <c r="I86" s="332">
        <f t="shared" si="53"/>
        <v>75000</v>
      </c>
      <c r="J86" s="332">
        <f t="shared" si="53"/>
        <v>75000</v>
      </c>
      <c r="K86" s="332">
        <f t="shared" si="53"/>
        <v>75000</v>
      </c>
      <c r="L86" s="332">
        <f t="shared" si="53"/>
        <v>75000</v>
      </c>
      <c r="M86" s="332">
        <f t="shared" si="53"/>
        <v>75000</v>
      </c>
      <c r="N86" s="332">
        <f>M86+10000000*B66</f>
        <v>9075000</v>
      </c>
    </row>
    <row r="87" spans="1:14">
      <c r="A87" s="332" t="s">
        <v>216</v>
      </c>
      <c r="B87" s="346">
        <f>(1+IRR(B86:N86,0.1))^12-1</f>
        <v>-1.0431097414480672E-2</v>
      </c>
      <c r="C87" s="346">
        <f>B87-C70</f>
        <v>-4.0847054327987409E-2</v>
      </c>
      <c r="D87" s="335" t="s">
        <v>229</v>
      </c>
      <c r="F87" s="347">
        <f>C87/C$22</f>
        <v>-0.23861268050129028</v>
      </c>
    </row>
    <row r="88" spans="1:14">
      <c r="B88" s="346">
        <f>IRR(B86:N86,0.1)</f>
        <v>-8.7344187938338661E-4</v>
      </c>
      <c r="C88" s="346">
        <f>1+B88</f>
        <v>0.99912655812061657</v>
      </c>
      <c r="D88" s="335"/>
      <c r="F88" s="347"/>
    </row>
    <row r="89" spans="1:14">
      <c r="A89" s="332" t="s">
        <v>230</v>
      </c>
      <c r="B89" s="349">
        <f>F83/F87</f>
        <v>2.8783958743064169</v>
      </c>
    </row>
    <row r="90" spans="1:14">
      <c r="A90" s="332" t="s">
        <v>230</v>
      </c>
      <c r="B90" s="349">
        <f>C83/C87</f>
        <v>2.8783958743064173</v>
      </c>
    </row>
    <row r="91" spans="1:14">
      <c r="A91" s="332" t="s">
        <v>231</v>
      </c>
      <c r="B91" s="349">
        <f>B18/B20</f>
        <v>2.7004741630947269</v>
      </c>
    </row>
    <row r="92" spans="1:14">
      <c r="A92" s="332" t="s">
        <v>232</v>
      </c>
      <c r="B92" s="347">
        <f>N18/(N18-N19)</f>
        <v>2.4582169149659281</v>
      </c>
    </row>
    <row r="93" spans="1:14">
      <c r="A93" s="332" t="s">
        <v>233</v>
      </c>
      <c r="B93" s="347">
        <f>N18/B20</f>
        <v>2.9537972665752896</v>
      </c>
    </row>
    <row r="94" spans="1:14">
      <c r="B94" s="337">
        <f>B75</f>
        <v>-3463088.4425516315</v>
      </c>
      <c r="C94" s="332">
        <f t="shared" ref="C94:N94" si="54">C72*$B66-C73</f>
        <v>0</v>
      </c>
      <c r="D94" s="332">
        <f t="shared" si="54"/>
        <v>0</v>
      </c>
      <c r="E94" s="332">
        <f t="shared" si="54"/>
        <v>-1500000</v>
      </c>
      <c r="F94" s="332">
        <f t="shared" si="54"/>
        <v>0</v>
      </c>
      <c r="G94" s="332">
        <f t="shared" si="54"/>
        <v>0</v>
      </c>
      <c r="H94" s="332">
        <f t="shared" si="54"/>
        <v>3000000</v>
      </c>
      <c r="I94" s="332">
        <f t="shared" si="54"/>
        <v>0</v>
      </c>
      <c r="J94" s="332">
        <f t="shared" si="54"/>
        <v>0</v>
      </c>
      <c r="K94" s="332">
        <f t="shared" si="54"/>
        <v>-1500000</v>
      </c>
      <c r="L94" s="332">
        <f t="shared" si="54"/>
        <v>0</v>
      </c>
      <c r="M94" s="332">
        <f t="shared" si="54"/>
        <v>0</v>
      </c>
      <c r="N94" s="332">
        <f t="shared" si="54"/>
        <v>3000000</v>
      </c>
    </row>
    <row r="95" spans="1:14">
      <c r="B95" s="336">
        <f>(1+IRR(B94:N94))^12-1</f>
        <v>-0.13424470830223789</v>
      </c>
      <c r="C95" s="336">
        <f>B95-C70</f>
        <v>-0.16466066521574463</v>
      </c>
    </row>
    <row r="96" spans="1:14">
      <c r="B96" s="336">
        <f>IRR(B94:N94)</f>
        <v>-1.1940883609256846E-2</v>
      </c>
    </row>
  </sheetData>
  <phoneticPr fontId="1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vt:lpstr>
      <vt:lpstr>Binomial Example 1yr</vt:lpstr>
      <vt:lpstr>Binomial Example 12mo</vt:lpstr>
      <vt:lpstr>Sam-McK Formula</vt:lpstr>
      <vt:lpstr>Roth Harbor</vt:lpstr>
      <vt:lpstr>Dvlpt OCC Estn</vt:lpstr>
      <vt:lpstr>EnhancedCapRateOnCost</vt:lpstr>
      <vt:lpstr>footnote29&amp;31</vt:lpstr>
    </vt:vector>
  </TitlesOfParts>
  <Company>Center for Real Estate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Massachusetts Institute of Technology</dc:creator>
  <cp:lastModifiedBy>dgeltner</cp:lastModifiedBy>
  <dcterms:created xsi:type="dcterms:W3CDTF">2004-10-08T17:31:09Z</dcterms:created>
  <dcterms:modified xsi:type="dcterms:W3CDTF">2012-12-05T23:19:38Z</dcterms:modified>
</cp:coreProperties>
</file>