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geltner\Documents\BOOK_3e\DG_3e_work\Ch23\"/>
    </mc:Choice>
  </mc:AlternateContent>
  <bookViews>
    <workbookView xWindow="480" yWindow="132" windowWidth="15228" windowHeight="11592" tabRatio="699"/>
  </bookViews>
  <sheets>
    <sheet name="Intro" sheetId="11" r:id="rId1"/>
    <sheet name="Analyzer" sheetId="12" r:id="rId2"/>
    <sheet name="Simple REIT v Direct Property" sheetId="5" r:id="rId3"/>
    <sheet name="(2) External Equity" sheetId="8" r:id="rId4"/>
    <sheet name="(3) Growth REIT" sheetId="9" r:id="rId5"/>
    <sheet name="(4) Shrinking REIT" sheetId="10" r:id="rId6"/>
    <sheet name="(5) More line items, 1-time" sheetId="1" r:id="rId7"/>
  </sheets>
  <calcPr calcId="152511"/>
</workbook>
</file>

<file path=xl/calcChain.xml><?xml version="1.0" encoding="utf-8"?>
<calcChain xmlns="http://schemas.openxmlformats.org/spreadsheetml/2006/main">
  <c r="B15" i="9" l="1"/>
  <c r="D24" i="11" s="1"/>
  <c r="B23" i="1"/>
  <c r="B17" i="1" s="1"/>
  <c r="B15" i="1"/>
  <c r="D15" i="1" s="1"/>
  <c r="B13" i="1"/>
  <c r="B5" i="1"/>
  <c r="B13" i="12"/>
  <c r="B18" i="8" s="1"/>
  <c r="B18" i="10"/>
  <c r="B9" i="10"/>
  <c r="C24" i="10" s="1"/>
  <c r="B17" i="10"/>
  <c r="B10" i="10"/>
  <c r="B12" i="10"/>
  <c r="B15" i="10"/>
  <c r="B13" i="10"/>
  <c r="B19" i="10"/>
  <c r="C127" i="10" s="1"/>
  <c r="D126" i="10" s="1"/>
  <c r="B14" i="10"/>
  <c r="B127" i="10" s="1"/>
  <c r="C126" i="10" s="1"/>
  <c r="B11" i="10"/>
  <c r="B9" i="9"/>
  <c r="C24" i="9" s="1"/>
  <c r="C128" i="9" s="1"/>
  <c r="C130" i="9" s="1"/>
  <c r="B10" i="9"/>
  <c r="B11" i="9"/>
  <c r="B14" i="9"/>
  <c r="B127" i="9" s="1"/>
  <c r="C126" i="9" s="1"/>
  <c r="B12" i="12"/>
  <c r="B18" i="9" s="1"/>
  <c r="B11" i="8"/>
  <c r="B9" i="8"/>
  <c r="C22" i="8" s="1"/>
  <c r="B12" i="8"/>
  <c r="B16" i="8"/>
  <c r="B13" i="8"/>
  <c r="B10" i="8"/>
  <c r="C23" i="8" s="1"/>
  <c r="B14" i="8"/>
  <c r="B93" i="8" s="1"/>
  <c r="C92" i="8" s="1"/>
  <c r="B36" i="12"/>
  <c r="B15" i="5"/>
  <c r="B13" i="5"/>
  <c r="B12" i="5"/>
  <c r="B11" i="5"/>
  <c r="B10" i="5"/>
  <c r="B9" i="5"/>
  <c r="C20" i="5" s="1"/>
  <c r="D12" i="1"/>
  <c r="B18" i="1"/>
  <c r="D18" i="1"/>
  <c r="B22" i="1"/>
  <c r="D22" i="1" s="1"/>
  <c r="D34" i="1"/>
  <c r="D45" i="1" s="1"/>
  <c r="C93" i="8" l="1"/>
  <c r="D92" i="8" s="1"/>
  <c r="D93" i="8" s="1"/>
  <c r="D23" i="1"/>
  <c r="B16" i="5"/>
  <c r="B17" i="8"/>
  <c r="B26" i="8"/>
  <c r="D22" i="11"/>
  <c r="D17" i="1"/>
  <c r="B16" i="1"/>
  <c r="D13" i="1"/>
  <c r="D14" i="1" s="1"/>
  <c r="B24" i="1"/>
  <c r="C26" i="5"/>
  <c r="B32" i="5" s="1"/>
  <c r="B79" i="5" s="1"/>
  <c r="C71" i="5"/>
  <c r="B24" i="5"/>
  <c r="B28" i="9"/>
  <c r="B29" i="9" s="1"/>
  <c r="D24" i="9"/>
  <c r="C34" i="9" s="1"/>
  <c r="C25" i="10"/>
  <c r="C128" i="10"/>
  <c r="C130" i="10" s="1"/>
  <c r="B34" i="10"/>
  <c r="B38" i="10" s="1"/>
  <c r="B28" i="10"/>
  <c r="B29" i="10" s="1"/>
  <c r="C30" i="10"/>
  <c r="B36" i="10" s="1"/>
  <c r="D24" i="10"/>
  <c r="D7" i="1"/>
  <c r="D16" i="1"/>
  <c r="D20" i="1" s="1"/>
  <c r="H21" i="1" s="1"/>
  <c r="E24" i="9"/>
  <c r="F24" i="9" s="1"/>
  <c r="D30" i="10"/>
  <c r="C36" i="10" s="1"/>
  <c r="C34" i="10"/>
  <c r="C30" i="9"/>
  <c r="B36" i="9" s="1"/>
  <c r="B34" i="9"/>
  <c r="C94" i="8"/>
  <c r="C96" i="8" s="1"/>
  <c r="C21" i="5"/>
  <c r="C27" i="5" s="1"/>
  <c r="B19" i="1"/>
  <c r="C28" i="8"/>
  <c r="B34" i="8" s="1"/>
  <c r="B33" i="8"/>
  <c r="C24" i="8"/>
  <c r="B145" i="10"/>
  <c r="B31" i="5"/>
  <c r="D20" i="5"/>
  <c r="E20" i="5" s="1"/>
  <c r="C29" i="8"/>
  <c r="C31" i="8" s="1"/>
  <c r="D22" i="8"/>
  <c r="C127" i="9"/>
  <c r="D126" i="9" s="1"/>
  <c r="D127" i="9" s="1"/>
  <c r="E126" i="9" s="1"/>
  <c r="C25" i="9"/>
  <c r="C26" i="9" s="1"/>
  <c r="D127" i="10"/>
  <c r="E126" i="10" s="1"/>
  <c r="E127" i="10" s="1"/>
  <c r="F126" i="10" s="1"/>
  <c r="C31" i="10" l="1"/>
  <c r="H12" i="10" s="1"/>
  <c r="D22" i="12" s="1"/>
  <c r="C123" i="8"/>
  <c r="G20" i="8" s="1"/>
  <c r="B35" i="12" s="1"/>
  <c r="D19" i="1"/>
  <c r="I20" i="1" s="1"/>
  <c r="D8" i="1" s="1"/>
  <c r="D25" i="9"/>
  <c r="D26" i="9" s="1"/>
  <c r="D29" i="9" s="1"/>
  <c r="C22" i="5"/>
  <c r="C24" i="5" s="1"/>
  <c r="D30" i="9"/>
  <c r="C36" i="9" s="1"/>
  <c r="B122" i="8"/>
  <c r="G19" i="8" s="1"/>
  <c r="B34" i="12" s="1"/>
  <c r="C167" i="9"/>
  <c r="H25" i="9" s="1"/>
  <c r="C35" i="12" s="1"/>
  <c r="C167" i="10"/>
  <c r="H25" i="10" s="1"/>
  <c r="D35" i="12" s="1"/>
  <c r="C132" i="10"/>
  <c r="C134" i="10" s="1"/>
  <c r="C39" i="10"/>
  <c r="C33" i="10"/>
  <c r="B35" i="10"/>
  <c r="B140" i="10"/>
  <c r="B146" i="10" s="1"/>
  <c r="D25" i="10"/>
  <c r="D26" i="10" s="1"/>
  <c r="C26" i="10"/>
  <c r="E24" i="10"/>
  <c r="D34" i="10" s="1"/>
  <c r="C73" i="5"/>
  <c r="C28" i="5"/>
  <c r="C29" i="5"/>
  <c r="E26" i="5"/>
  <c r="D32" i="5" s="1"/>
  <c r="D31" i="5"/>
  <c r="E21" i="5"/>
  <c r="E22" i="5" s="1"/>
  <c r="D23" i="5"/>
  <c r="E34" i="9"/>
  <c r="F25" i="9"/>
  <c r="F26" i="9" s="1"/>
  <c r="E27" i="9"/>
  <c r="F30" i="9"/>
  <c r="E36" i="9" s="1"/>
  <c r="D28" i="8"/>
  <c r="C34" i="8" s="1"/>
  <c r="D23" i="8"/>
  <c r="D24" i="8" s="1"/>
  <c r="C33" i="8"/>
  <c r="E22" i="8"/>
  <c r="B145" i="9"/>
  <c r="E127" i="9"/>
  <c r="F126" i="9" s="1"/>
  <c r="G8" i="5"/>
  <c r="D28" i="1"/>
  <c r="D31" i="1"/>
  <c r="D32" i="1" s="1"/>
  <c r="B33" i="5"/>
  <c r="B77" i="5"/>
  <c r="B85" i="5" s="1"/>
  <c r="B38" i="9"/>
  <c r="B35" i="9"/>
  <c r="H9" i="9" s="1"/>
  <c r="C19" i="12" s="1"/>
  <c r="B140" i="9"/>
  <c r="C35" i="10"/>
  <c r="C32" i="10"/>
  <c r="C35" i="9"/>
  <c r="B35" i="8"/>
  <c r="D24" i="1"/>
  <c r="C36" i="8"/>
  <c r="C98" i="8"/>
  <c r="C100" i="8" s="1"/>
  <c r="F24" i="10"/>
  <c r="E30" i="10"/>
  <c r="D36" i="10" s="1"/>
  <c r="C28" i="9"/>
  <c r="H8" i="9"/>
  <c r="C18" i="12" s="1"/>
  <c r="C29" i="9"/>
  <c r="C31" i="5"/>
  <c r="D26" i="5"/>
  <c r="C32" i="5" s="1"/>
  <c r="C34" i="5" s="1"/>
  <c r="D21" i="5"/>
  <c r="D22" i="5" s="1"/>
  <c r="D24" i="5" s="1"/>
  <c r="C26" i="8"/>
  <c r="G8" i="8"/>
  <c r="E30" i="9"/>
  <c r="D36" i="9" s="1"/>
  <c r="E25" i="9"/>
  <c r="E26" i="9" s="1"/>
  <c r="D34" i="9"/>
  <c r="C31" i="9"/>
  <c r="C38" i="10"/>
  <c r="D31" i="10"/>
  <c r="C30" i="8"/>
  <c r="D28" i="9" l="1"/>
  <c r="D31" i="9"/>
  <c r="D39" i="9" s="1"/>
  <c r="D28" i="10"/>
  <c r="D29" i="10"/>
  <c r="B164" i="10"/>
  <c r="E27" i="5"/>
  <c r="C28" i="10"/>
  <c r="C29" i="10"/>
  <c r="H8" i="10"/>
  <c r="D18" i="12" s="1"/>
  <c r="H9" i="10"/>
  <c r="D19" i="12" s="1"/>
  <c r="B141" i="10"/>
  <c r="B165" i="10" s="1"/>
  <c r="B166" i="10"/>
  <c r="H24" i="10" s="1"/>
  <c r="D34" i="12" s="1"/>
  <c r="B37" i="10"/>
  <c r="C50" i="10" s="1"/>
  <c r="E25" i="10"/>
  <c r="E26" i="10" s="1"/>
  <c r="B19" i="12"/>
  <c r="B18" i="12"/>
  <c r="B110" i="8"/>
  <c r="B111" i="8" s="1"/>
  <c r="B124" i="8" s="1"/>
  <c r="B36" i="8"/>
  <c r="C35" i="8"/>
  <c r="E29" i="9"/>
  <c r="H14" i="9" s="1"/>
  <c r="C24" i="12" s="1"/>
  <c r="E28" i="9"/>
  <c r="H13" i="9" s="1"/>
  <c r="D35" i="10"/>
  <c r="C37" i="9"/>
  <c r="B81" i="5"/>
  <c r="B86" i="5" s="1"/>
  <c r="B34" i="5"/>
  <c r="E35" i="9"/>
  <c r="D33" i="5"/>
  <c r="F31" i="9"/>
  <c r="C37" i="10"/>
  <c r="B164" i="9"/>
  <c r="E29" i="5"/>
  <c r="E28" i="5"/>
  <c r="C39" i="9"/>
  <c r="H12" i="9"/>
  <c r="C22" i="12" s="1"/>
  <c r="C38" i="9"/>
  <c r="C132" i="9"/>
  <c r="C134" i="9" s="1"/>
  <c r="C32" i="9"/>
  <c r="C33" i="9"/>
  <c r="E34" i="10"/>
  <c r="F25" i="10"/>
  <c r="F26" i="10" s="1"/>
  <c r="F30" i="10"/>
  <c r="E36" i="10" s="1"/>
  <c r="E27" i="10"/>
  <c r="E29" i="10" s="1"/>
  <c r="B26" i="1"/>
  <c r="D6" i="1" s="1"/>
  <c r="D27" i="1"/>
  <c r="D35" i="1" s="1"/>
  <c r="B37" i="9"/>
  <c r="B40" i="9" s="1"/>
  <c r="B141" i="9"/>
  <c r="B165" i="9" s="1"/>
  <c r="B37" i="5"/>
  <c r="C75" i="5"/>
  <c r="G11" i="5"/>
  <c r="G14" i="5" s="1"/>
  <c r="B36" i="5"/>
  <c r="D35" i="9"/>
  <c r="C136" i="10"/>
  <c r="C138" i="10" s="1"/>
  <c r="D33" i="8"/>
  <c r="E23" i="8"/>
  <c r="E24" i="8" s="1"/>
  <c r="E28" i="8"/>
  <c r="D34" i="8" s="1"/>
  <c r="D25" i="8"/>
  <c r="D26" i="8" s="1"/>
  <c r="G11" i="8" s="1"/>
  <c r="D39" i="10"/>
  <c r="D38" i="10"/>
  <c r="D32" i="10"/>
  <c r="D33" i="10"/>
  <c r="C47" i="5"/>
  <c r="C33" i="5"/>
  <c r="K15" i="5"/>
  <c r="C102" i="8"/>
  <c r="C104" i="8" s="1"/>
  <c r="C124" i="8" s="1"/>
  <c r="B39" i="8"/>
  <c r="E31" i="9"/>
  <c r="D27" i="5"/>
  <c r="B38" i="8"/>
  <c r="G9" i="8" s="1"/>
  <c r="B146" i="9"/>
  <c r="B166" i="9"/>
  <c r="H24" i="9" s="1"/>
  <c r="C34" i="12" s="1"/>
  <c r="D29" i="8"/>
  <c r="G9" i="5"/>
  <c r="E32" i="1" l="1"/>
  <c r="E28" i="10"/>
  <c r="H13" i="10" s="1"/>
  <c r="D23" i="12" s="1"/>
  <c r="D38" i="9"/>
  <c r="C40" i="9"/>
  <c r="D32" i="9"/>
  <c r="C41" i="9" s="1"/>
  <c r="D33" i="9"/>
  <c r="C50" i="9"/>
  <c r="C51" i="9" s="1"/>
  <c r="E29" i="8"/>
  <c r="H14" i="10"/>
  <c r="D24" i="12" s="1"/>
  <c r="C52" i="10"/>
  <c r="D44" i="10"/>
  <c r="C51" i="10"/>
  <c r="C140" i="10"/>
  <c r="C54" i="10"/>
  <c r="B147" i="10"/>
  <c r="B40" i="10"/>
  <c r="B39" i="10"/>
  <c r="H10" i="10"/>
  <c r="D20" i="12" s="1"/>
  <c r="B41" i="10"/>
  <c r="E31" i="10"/>
  <c r="E33" i="10" s="1"/>
  <c r="B24" i="12"/>
  <c r="B23" i="12"/>
  <c r="G14" i="8"/>
  <c r="B28" i="12" s="1"/>
  <c r="D37" i="5"/>
  <c r="D37" i="10"/>
  <c r="E38" i="9"/>
  <c r="H15" i="9" s="1"/>
  <c r="E33" i="9"/>
  <c r="E32" i="9"/>
  <c r="B147" i="9"/>
  <c r="B39" i="9"/>
  <c r="H18" i="9"/>
  <c r="C28" i="12" s="1"/>
  <c r="C23" i="12"/>
  <c r="D40" i="5"/>
  <c r="C41" i="10"/>
  <c r="E31" i="8"/>
  <c r="C38" i="8"/>
  <c r="D30" i="8"/>
  <c r="D31" i="8"/>
  <c r="C86" i="5"/>
  <c r="G10" i="5"/>
  <c r="B84" i="5"/>
  <c r="F33" i="9"/>
  <c r="F32" i="9"/>
  <c r="C40" i="10"/>
  <c r="E28" i="1"/>
  <c r="C48" i="5"/>
  <c r="H10" i="9"/>
  <c r="C20" i="12" s="1"/>
  <c r="D36" i="1"/>
  <c r="B20" i="12"/>
  <c r="B22" i="12"/>
  <c r="D34" i="5"/>
  <c r="G12" i="5" s="1"/>
  <c r="G15" i="5" s="1"/>
  <c r="I16" i="5" s="1"/>
  <c r="C36" i="5"/>
  <c r="D29" i="5"/>
  <c r="D28" i="5"/>
  <c r="D35" i="8"/>
  <c r="D37" i="9"/>
  <c r="E35" i="10"/>
  <c r="B41" i="9"/>
  <c r="C136" i="9"/>
  <c r="C138" i="9" s="1"/>
  <c r="E37" i="9"/>
  <c r="C77" i="5"/>
  <c r="C78" i="5" s="1"/>
  <c r="F31" i="10"/>
  <c r="D36" i="5"/>
  <c r="B83" i="5"/>
  <c r="C49" i="8"/>
  <c r="D38" i="8" l="1"/>
  <c r="C140" i="9"/>
  <c r="H34" i="9" s="1"/>
  <c r="D44" i="9"/>
  <c r="D45" i="9" s="1"/>
  <c r="C52" i="9"/>
  <c r="C54" i="9" s="1"/>
  <c r="H18" i="10"/>
  <c r="D28" i="12" s="1"/>
  <c r="E30" i="8"/>
  <c r="D39" i="8" s="1"/>
  <c r="E38" i="10"/>
  <c r="H15" i="10" s="1"/>
  <c r="D25" i="12" s="1"/>
  <c r="B148" i="10"/>
  <c r="B149" i="10"/>
  <c r="C55" i="10"/>
  <c r="C141" i="10"/>
  <c r="C53" i="10"/>
  <c r="C147" i="10" s="1"/>
  <c r="D46" i="10"/>
  <c r="C145" i="10"/>
  <c r="E44" i="10"/>
  <c r="D45" i="10"/>
  <c r="D47" i="10" s="1"/>
  <c r="E32" i="10"/>
  <c r="D41" i="10" s="1"/>
  <c r="H19" i="10"/>
  <c r="D29" i="12" s="1"/>
  <c r="B43" i="1"/>
  <c r="D43" i="1"/>
  <c r="C141" i="9"/>
  <c r="H35" i="9" s="1"/>
  <c r="D40" i="10"/>
  <c r="E44" i="9"/>
  <c r="C37" i="5"/>
  <c r="C39" i="8"/>
  <c r="E40" i="5"/>
  <c r="D41" i="5"/>
  <c r="D71" i="5"/>
  <c r="D72" i="5" s="1"/>
  <c r="D37" i="1"/>
  <c r="B38" i="1" s="1"/>
  <c r="D36" i="8"/>
  <c r="G12" i="8" s="1"/>
  <c r="D40" i="9"/>
  <c r="E39" i="9"/>
  <c r="H16" i="9" s="1"/>
  <c r="E37" i="10"/>
  <c r="E40" i="10" s="1"/>
  <c r="B148" i="9"/>
  <c r="B149" i="9"/>
  <c r="D41" i="9"/>
  <c r="H19" i="9"/>
  <c r="C29" i="12" s="1"/>
  <c r="C25" i="12"/>
  <c r="D42" i="5"/>
  <c r="C79" i="5"/>
  <c r="D42" i="8"/>
  <c r="C106" i="8"/>
  <c r="C50" i="8"/>
  <c r="F32" i="10"/>
  <c r="F33" i="10"/>
  <c r="E41" i="9"/>
  <c r="E40" i="9"/>
  <c r="C49" i="5"/>
  <c r="C81" i="5" s="1"/>
  <c r="C82" i="5" s="1"/>
  <c r="D43" i="5" l="1"/>
  <c r="D46" i="9"/>
  <c r="D47" i="9" s="1"/>
  <c r="C53" i="9"/>
  <c r="C147" i="9" s="1"/>
  <c r="C145" i="9"/>
  <c r="C146" i="9" s="1"/>
  <c r="C55" i="9"/>
  <c r="C148" i="10"/>
  <c r="C165" i="10"/>
  <c r="C146" i="10"/>
  <c r="C164" i="10"/>
  <c r="C149" i="10"/>
  <c r="C63" i="10" s="1"/>
  <c r="C173" i="10"/>
  <c r="D48" i="10"/>
  <c r="D49" i="10"/>
  <c r="F44" i="10"/>
  <c r="E46" i="10"/>
  <c r="D52" i="10" s="1"/>
  <c r="D50" i="10"/>
  <c r="D51" i="10" s="1"/>
  <c r="E45" i="10"/>
  <c r="C51" i="5"/>
  <c r="D44" i="5"/>
  <c r="D45" i="5"/>
  <c r="D73" i="5"/>
  <c r="E41" i="10"/>
  <c r="C85" i="5"/>
  <c r="C80" i="5"/>
  <c r="E39" i="10"/>
  <c r="H16" i="10" s="1"/>
  <c r="G15" i="8"/>
  <c r="B25" i="12"/>
  <c r="B26" i="12"/>
  <c r="E41" i="5"/>
  <c r="D47" i="5"/>
  <c r="E42" i="5"/>
  <c r="D48" i="5" s="1"/>
  <c r="E46" i="9"/>
  <c r="D52" i="9" s="1"/>
  <c r="D50" i="9"/>
  <c r="E45" i="9"/>
  <c r="F44" i="9"/>
  <c r="D44" i="8"/>
  <c r="D43" i="8"/>
  <c r="D45" i="8" s="1"/>
  <c r="E42" i="8"/>
  <c r="H20" i="9"/>
  <c r="J22" i="9" s="1"/>
  <c r="C26" i="12"/>
  <c r="B42" i="1"/>
  <c r="D38" i="1"/>
  <c r="D49" i="1"/>
  <c r="B49" i="1"/>
  <c r="B50" i="1" s="1"/>
  <c r="D50" i="1" s="1"/>
  <c r="B39" i="1"/>
  <c r="C51" i="8"/>
  <c r="C164" i="9" l="1"/>
  <c r="D49" i="9"/>
  <c r="D48" i="9"/>
  <c r="C173" i="9"/>
  <c r="E47" i="9"/>
  <c r="E49" i="9" s="1"/>
  <c r="C165" i="9"/>
  <c r="D53" i="10"/>
  <c r="F46" i="10"/>
  <c r="E52" i="10" s="1"/>
  <c r="F45" i="10"/>
  <c r="E50" i="10"/>
  <c r="E51" i="10" s="1"/>
  <c r="C169" i="10"/>
  <c r="C150" i="10"/>
  <c r="E47" i="10"/>
  <c r="D51" i="9"/>
  <c r="D51" i="1"/>
  <c r="D52" i="1"/>
  <c r="D53" i="1" s="1"/>
  <c r="D47" i="8"/>
  <c r="D46" i="8"/>
  <c r="C127" i="8"/>
  <c r="B30" i="12"/>
  <c r="B29" i="12"/>
  <c r="I16" i="8"/>
  <c r="C52" i="5"/>
  <c r="D75" i="5"/>
  <c r="B44" i="1"/>
  <c r="D42" i="1"/>
  <c r="C30" i="12"/>
  <c r="C149" i="9"/>
  <c r="H32" i="9" s="1"/>
  <c r="C148" i="9"/>
  <c r="E43" i="5"/>
  <c r="D62" i="5"/>
  <c r="H20" i="10"/>
  <c r="D26" i="12"/>
  <c r="C65" i="10"/>
  <c r="C67" i="10" s="1"/>
  <c r="D57" i="10"/>
  <c r="C64" i="10"/>
  <c r="C110" i="8"/>
  <c r="C111" i="8" s="1"/>
  <c r="D39" i="1"/>
  <c r="E42" i="1"/>
  <c r="E43" i="8"/>
  <c r="E45" i="8" s="1"/>
  <c r="D49" i="8"/>
  <c r="E44" i="8"/>
  <c r="D50" i="8" s="1"/>
  <c r="F46" i="9"/>
  <c r="E52" i="9" s="1"/>
  <c r="E50" i="9"/>
  <c r="F45" i="9"/>
  <c r="D49" i="5"/>
  <c r="D74" i="5"/>
  <c r="C83" i="5"/>
  <c r="E53" i="10" l="1"/>
  <c r="E48" i="9"/>
  <c r="F47" i="9"/>
  <c r="F48" i="9" s="1"/>
  <c r="E48" i="10"/>
  <c r="E49" i="10"/>
  <c r="F47" i="10"/>
  <c r="C68" i="10"/>
  <c r="C66" i="10"/>
  <c r="C153" i="10" s="1"/>
  <c r="C155" i="10" s="1"/>
  <c r="C143" i="10"/>
  <c r="E55" i="5"/>
  <c r="D63" i="5"/>
  <c r="D64" i="5" s="1"/>
  <c r="D81" i="5" s="1"/>
  <c r="C84" i="5"/>
  <c r="D76" i="5"/>
  <c r="D53" i="9"/>
  <c r="D30" i="12"/>
  <c r="J22" i="10"/>
  <c r="C150" i="9"/>
  <c r="C169" i="9"/>
  <c r="C63" i="9"/>
  <c r="D59" i="10"/>
  <c r="D167" i="10" s="1"/>
  <c r="C166" i="10"/>
  <c r="D51" i="8"/>
  <c r="C112" i="8"/>
  <c r="C61" i="8"/>
  <c r="E57" i="10"/>
  <c r="D58" i="10"/>
  <c r="D60" i="10" s="1"/>
  <c r="D128" i="10"/>
  <c r="D77" i="5"/>
  <c r="D78" i="5" s="1"/>
  <c r="E47" i="8"/>
  <c r="E46" i="8"/>
  <c r="E51" i="9"/>
  <c r="E44" i="5"/>
  <c r="D51" i="5"/>
  <c r="E45" i="5"/>
  <c r="G42" i="1"/>
  <c r="D44" i="1"/>
  <c r="F49" i="9" l="1"/>
  <c r="C161" i="10"/>
  <c r="C160" i="10"/>
  <c r="F48" i="10"/>
  <c r="F49" i="10"/>
  <c r="I17" i="5"/>
  <c r="D82" i="5"/>
  <c r="D86" i="5"/>
  <c r="C174" i="10"/>
  <c r="C175" i="10" s="1"/>
  <c r="D62" i="10"/>
  <c r="D77" i="10" s="1"/>
  <c r="D132" i="10"/>
  <c r="C168" i="10"/>
  <c r="C157" i="10"/>
  <c r="C170" i="10"/>
  <c r="D46" i="1"/>
  <c r="E53" i="1" s="1"/>
  <c r="G44" i="1"/>
  <c r="B47" i="1"/>
  <c r="D54" i="8"/>
  <c r="C62" i="8"/>
  <c r="C63" i="8" s="1"/>
  <c r="C114" i="8" s="1"/>
  <c r="C116" i="8" s="1"/>
  <c r="C108" i="8"/>
  <c r="D129" i="10"/>
  <c r="D130" i="10"/>
  <c r="D131" i="10" s="1"/>
  <c r="D63" i="10"/>
  <c r="E58" i="10"/>
  <c r="E60" i="10" s="1"/>
  <c r="E59" i="10"/>
  <c r="D65" i="10" s="1"/>
  <c r="D61" i="10" s="1"/>
  <c r="D136" i="10" s="1"/>
  <c r="F57" i="10"/>
  <c r="C65" i="9"/>
  <c r="C67" i="9" s="1"/>
  <c r="C64" i="9"/>
  <c r="D57" i="9"/>
  <c r="C152" i="10"/>
  <c r="C151" i="10"/>
  <c r="D15" i="12" s="1"/>
  <c r="D52" i="5"/>
  <c r="E57" i="5"/>
  <c r="D79" i="5"/>
  <c r="E53" i="9"/>
  <c r="E56" i="5"/>
  <c r="E71" i="5"/>
  <c r="E72" i="5" s="1"/>
  <c r="E58" i="5" l="1"/>
  <c r="E60" i="5" s="1"/>
  <c r="E62" i="10"/>
  <c r="D138" i="10"/>
  <c r="D137" i="10"/>
  <c r="E59" i="5"/>
  <c r="D66" i="5"/>
  <c r="E73" i="5"/>
  <c r="D78" i="10"/>
  <c r="E71" i="10"/>
  <c r="D79" i="10"/>
  <c r="E73" i="10" s="1"/>
  <c r="D59" i="9"/>
  <c r="D167" i="9" s="1"/>
  <c r="C166" i="9"/>
  <c r="D133" i="10"/>
  <c r="D134" i="10"/>
  <c r="F86" i="5"/>
  <c r="G13" i="5"/>
  <c r="D80" i="5"/>
  <c r="D85" i="5"/>
  <c r="C68" i="9"/>
  <c r="C66" i="9"/>
  <c r="C153" i="9" s="1"/>
  <c r="C155" i="9" s="1"/>
  <c r="H33" i="9" s="1"/>
  <c r="C143" i="9"/>
  <c r="H36" i="9" s="1"/>
  <c r="F59" i="10"/>
  <c r="E65" i="10" s="1"/>
  <c r="E61" i="10" s="1"/>
  <c r="E63" i="10"/>
  <c r="F58" i="10"/>
  <c r="E57" i="9"/>
  <c r="D58" i="9"/>
  <c r="D60" i="9" s="1"/>
  <c r="D128" i="9"/>
  <c r="D64" i="10"/>
  <c r="D140" i="10"/>
  <c r="E54" i="8"/>
  <c r="D55" i="8"/>
  <c r="D94" i="8"/>
  <c r="E167" i="10"/>
  <c r="D56" i="8"/>
  <c r="D123" i="8" s="1"/>
  <c r="C122" i="8"/>
  <c r="F167" i="10" l="1"/>
  <c r="D57" i="8"/>
  <c r="D98" i="8" s="1"/>
  <c r="F60" i="10"/>
  <c r="D145" i="10"/>
  <c r="D164" i="10" s="1"/>
  <c r="D81" i="10"/>
  <c r="C174" i="9"/>
  <c r="C175" i="9" s="1"/>
  <c r="D61" i="9"/>
  <c r="D136" i="9" s="1"/>
  <c r="D62" i="9"/>
  <c r="D132" i="9"/>
  <c r="D59" i="8"/>
  <c r="D58" i="8"/>
  <c r="D102" i="8" s="1"/>
  <c r="D66" i="10"/>
  <c r="D141" i="10"/>
  <c r="D142" i="10" s="1"/>
  <c r="F57" i="9"/>
  <c r="E59" i="9"/>
  <c r="D65" i="9" s="1"/>
  <c r="E58" i="9"/>
  <c r="D63" i="9"/>
  <c r="E64" i="10"/>
  <c r="C152" i="9"/>
  <c r="C151" i="9"/>
  <c r="C15" i="12" s="1"/>
  <c r="F61" i="10"/>
  <c r="F62" i="10"/>
  <c r="G16" i="5"/>
  <c r="G17" i="5" s="1"/>
  <c r="G18" i="5"/>
  <c r="F71" i="10"/>
  <c r="E72" i="10"/>
  <c r="E74" i="10" s="1"/>
  <c r="D95" i="8"/>
  <c r="D96" i="8"/>
  <c r="D97" i="8" s="1"/>
  <c r="D61" i="8"/>
  <c r="E56" i="8"/>
  <c r="D62" i="8" s="1"/>
  <c r="E55" i="8"/>
  <c r="E57" i="8" s="1"/>
  <c r="D129" i="9"/>
  <c r="D130" i="9"/>
  <c r="D131" i="9" s="1"/>
  <c r="D168" i="10"/>
  <c r="D169" i="10"/>
  <c r="D139" i="10"/>
  <c r="C159" i="10"/>
  <c r="C163" i="10"/>
  <c r="D80" i="10"/>
  <c r="D82" i="10"/>
  <c r="D67" i="5"/>
  <c r="E75" i="5"/>
  <c r="C160" i="9"/>
  <c r="C168" i="9"/>
  <c r="C161" i="9"/>
  <c r="C170" i="9"/>
  <c r="C157" i="9"/>
  <c r="D135" i="10"/>
  <c r="C158" i="10"/>
  <c r="C172" i="10"/>
  <c r="C162" i="10"/>
  <c r="G80" i="5"/>
  <c r="D83" i="5"/>
  <c r="E74" i="5"/>
  <c r="C128" i="8" l="1"/>
  <c r="E167" i="9"/>
  <c r="E60" i="9"/>
  <c r="E62" i="9" s="1"/>
  <c r="D165" i="10"/>
  <c r="D146" i="10"/>
  <c r="D84" i="5"/>
  <c r="G81" i="5"/>
  <c r="E76" i="5"/>
  <c r="E59" i="8"/>
  <c r="E58" i="8"/>
  <c r="D138" i="9"/>
  <c r="D137" i="9"/>
  <c r="D63" i="8"/>
  <c r="E63" i="9"/>
  <c r="F59" i="9"/>
  <c r="E65" i="9" s="1"/>
  <c r="F58" i="9"/>
  <c r="D77" i="9"/>
  <c r="D140" i="9" s="1"/>
  <c r="D73" i="8"/>
  <c r="D106" i="8" s="1"/>
  <c r="D107" i="8" s="1"/>
  <c r="G17" i="8" s="1"/>
  <c r="B32" i="12" s="1"/>
  <c r="D147" i="10"/>
  <c r="F73" i="10"/>
  <c r="E79" i="10" s="1"/>
  <c r="E77" i="10"/>
  <c r="F72" i="10"/>
  <c r="D104" i="8"/>
  <c r="D103" i="8"/>
  <c r="E75" i="10"/>
  <c r="E76" i="10"/>
  <c r="D173" i="10"/>
  <c r="E66" i="10"/>
  <c r="D64" i="9"/>
  <c r="D100" i="8"/>
  <c r="D99" i="8"/>
  <c r="D134" i="9"/>
  <c r="D133" i="9"/>
  <c r="F60" i="9" l="1"/>
  <c r="F61" i="9" s="1"/>
  <c r="F167" i="9"/>
  <c r="E61" i="9"/>
  <c r="F74" i="10"/>
  <c r="F76" i="10" s="1"/>
  <c r="D149" i="10"/>
  <c r="D148" i="10"/>
  <c r="C119" i="8"/>
  <c r="G10" i="8" s="1"/>
  <c r="B21" i="12" s="1"/>
  <c r="D105" i="8"/>
  <c r="C121" i="8"/>
  <c r="E78" i="10"/>
  <c r="D78" i="9"/>
  <c r="D141" i="9" s="1"/>
  <c r="D142" i="9" s="1"/>
  <c r="E71" i="9"/>
  <c r="D79" i="9"/>
  <c r="D81" i="9" s="1"/>
  <c r="E66" i="8"/>
  <c r="D74" i="8"/>
  <c r="D75" i="8" s="1"/>
  <c r="D110" i="8" s="1"/>
  <c r="D111" i="8" s="1"/>
  <c r="E64" i="9"/>
  <c r="C118" i="8"/>
  <c r="D101" i="8"/>
  <c r="C120" i="8"/>
  <c r="C172" i="9"/>
  <c r="C158" i="9"/>
  <c r="D135" i="9"/>
  <c r="C162" i="9"/>
  <c r="D66" i="9"/>
  <c r="D168" i="9"/>
  <c r="D169" i="9"/>
  <c r="C159" i="9"/>
  <c r="D139" i="9"/>
  <c r="C163" i="9"/>
  <c r="F62" i="9" l="1"/>
  <c r="F75" i="10"/>
  <c r="D112" i="8"/>
  <c r="D85" i="8"/>
  <c r="D124" i="8"/>
  <c r="E67" i="8"/>
  <c r="D80" i="9"/>
  <c r="D147" i="9" s="1"/>
  <c r="D82" i="9"/>
  <c r="E68" i="8"/>
  <c r="F71" i="9"/>
  <c r="E72" i="9"/>
  <c r="D150" i="10"/>
  <c r="D90" i="10"/>
  <c r="E66" i="9"/>
  <c r="E73" i="9"/>
  <c r="D145" i="9"/>
  <c r="E80" i="10"/>
  <c r="E69" i="8" l="1"/>
  <c r="E71" i="8" s="1"/>
  <c r="E74" i="9"/>
  <c r="E75" i="9" s="1"/>
  <c r="E70" i="8"/>
  <c r="D127" i="8"/>
  <c r="D149" i="9"/>
  <c r="D165" i="9"/>
  <c r="D164" i="9"/>
  <c r="D146" i="9"/>
  <c r="D148" i="9" s="1"/>
  <c r="D92" i="10"/>
  <c r="D94" i="10" s="1"/>
  <c r="E84" i="10"/>
  <c r="D91" i="10"/>
  <c r="E78" i="8"/>
  <c r="D86" i="8"/>
  <c r="D108" i="8"/>
  <c r="D109" i="8" s="1"/>
  <c r="F121" i="8"/>
  <c r="G13" i="8"/>
  <c r="E77" i="9"/>
  <c r="F73" i="9"/>
  <c r="E79" i="9" s="1"/>
  <c r="F72" i="9"/>
  <c r="E76" i="9" l="1"/>
  <c r="F74" i="9"/>
  <c r="F76" i="9" s="1"/>
  <c r="D173" i="9"/>
  <c r="G16" i="8"/>
  <c r="B31" i="12" s="1"/>
  <c r="B27" i="12"/>
  <c r="C126" i="8"/>
  <c r="E79" i="8"/>
  <c r="E94" i="8"/>
  <c r="D150" i="9"/>
  <c r="D90" i="9"/>
  <c r="E78" i="9"/>
  <c r="E80" i="8"/>
  <c r="E123" i="8" s="1"/>
  <c r="D122" i="8"/>
  <c r="E86" i="10"/>
  <c r="D166" i="10"/>
  <c r="F84" i="10"/>
  <c r="E85" i="10"/>
  <c r="E128" i="10"/>
  <c r="D93" i="10"/>
  <c r="D153" i="10" s="1"/>
  <c r="D95" i="10"/>
  <c r="D143" i="10"/>
  <c r="D144" i="10" s="1"/>
  <c r="D87" i="8"/>
  <c r="D114" i="8" s="1"/>
  <c r="E81" i="8" l="1"/>
  <c r="D128" i="8" s="1"/>
  <c r="F75" i="9"/>
  <c r="C125" i="8"/>
  <c r="E87" i="10"/>
  <c r="E132" i="10" s="1"/>
  <c r="E82" i="8"/>
  <c r="E102" i="8" s="1"/>
  <c r="E83" i="8"/>
  <c r="E98" i="8"/>
  <c r="D152" i="10"/>
  <c r="D151" i="10"/>
  <c r="E80" i="9"/>
  <c r="D116" i="8"/>
  <c r="D115" i="8"/>
  <c r="G18" i="8" s="1"/>
  <c r="B33" i="12" s="1"/>
  <c r="D155" i="10"/>
  <c r="D154" i="10"/>
  <c r="E129" i="10"/>
  <c r="E130" i="10"/>
  <c r="E131" i="10" s="1"/>
  <c r="D92" i="9"/>
  <c r="D94" i="9" s="1"/>
  <c r="D91" i="9"/>
  <c r="E84" i="9"/>
  <c r="E90" i="10"/>
  <c r="F85" i="10"/>
  <c r="F86" i="10"/>
  <c r="E92" i="10" s="1"/>
  <c r="E95" i="8"/>
  <c r="E96" i="8"/>
  <c r="E97" i="8" s="1"/>
  <c r="D161" i="10" l="1"/>
  <c r="D160" i="10"/>
  <c r="D174" i="10"/>
  <c r="D175" i="10" s="1"/>
  <c r="E89" i="10"/>
  <c r="E104" i="10" s="1"/>
  <c r="E106" i="10" s="1"/>
  <c r="E88" i="10"/>
  <c r="E136" i="10" s="1"/>
  <c r="E137" i="10" s="1"/>
  <c r="F84" i="9"/>
  <c r="E85" i="9"/>
  <c r="E128" i="9"/>
  <c r="D117" i="8"/>
  <c r="F98" i="10"/>
  <c r="D93" i="9"/>
  <c r="D153" i="9" s="1"/>
  <c r="D95" i="9"/>
  <c r="D143" i="9"/>
  <c r="D144" i="9" s="1"/>
  <c r="E104" i="8"/>
  <c r="E103" i="8"/>
  <c r="F87" i="10"/>
  <c r="E91" i="10"/>
  <c r="E166" i="10" s="1"/>
  <c r="E86" i="9"/>
  <c r="E87" i="9" s="1"/>
  <c r="D166" i="9"/>
  <c r="D156" i="10"/>
  <c r="D157" i="10"/>
  <c r="E100" i="8"/>
  <c r="E99" i="8"/>
  <c r="E134" i="10"/>
  <c r="E133" i="10"/>
  <c r="E138" i="10" l="1"/>
  <c r="D163" i="10" s="1"/>
  <c r="D17" i="12" s="1"/>
  <c r="F100" i="10"/>
  <c r="E145" i="10"/>
  <c r="E140" i="10"/>
  <c r="E105" i="10"/>
  <c r="E107" i="10" s="1"/>
  <c r="D125" i="8"/>
  <c r="D119" i="8"/>
  <c r="E105" i="8"/>
  <c r="D158" i="10"/>
  <c r="D172" i="10"/>
  <c r="E135" i="10"/>
  <c r="D155" i="9"/>
  <c r="D154" i="9"/>
  <c r="E130" i="9"/>
  <c r="E131" i="9" s="1"/>
  <c r="E129" i="9"/>
  <c r="F89" i="10"/>
  <c r="F88" i="10"/>
  <c r="D152" i="9"/>
  <c r="D151" i="9"/>
  <c r="F85" i="9"/>
  <c r="E90" i="9"/>
  <c r="F86" i="9"/>
  <c r="E92" i="9" s="1"/>
  <c r="D121" i="8"/>
  <c r="B17" i="12" s="1"/>
  <c r="F99" i="10"/>
  <c r="F101" i="10" s="1"/>
  <c r="E173" i="10" s="1"/>
  <c r="D174" i="9"/>
  <c r="D175" i="9" s="1"/>
  <c r="E89" i="9"/>
  <c r="E88" i="9"/>
  <c r="E136" i="9" s="1"/>
  <c r="E132" i="9"/>
  <c r="D170" i="10"/>
  <c r="D118" i="8"/>
  <c r="D126" i="8"/>
  <c r="E101" i="8"/>
  <c r="E93" i="10"/>
  <c r="D162" i="10"/>
  <c r="D16" i="12" s="1"/>
  <c r="E108" i="10"/>
  <c r="D120" i="8"/>
  <c r="B16" i="12" s="1"/>
  <c r="E139" i="10" l="1"/>
  <c r="E104" i="9"/>
  <c r="F98" i="9" s="1"/>
  <c r="E109" i="10"/>
  <c r="E141" i="10"/>
  <c r="D159" i="10"/>
  <c r="H11" i="10" s="1"/>
  <c r="D21" i="12" s="1"/>
  <c r="F87" i="9"/>
  <c r="F88" i="9" s="1"/>
  <c r="E146" i="10"/>
  <c r="E164" i="10"/>
  <c r="E91" i="9"/>
  <c r="E166" i="9" s="1"/>
  <c r="D161" i="9"/>
  <c r="H29" i="9" s="1"/>
  <c r="D160" i="9"/>
  <c r="H28" i="9" s="1"/>
  <c r="D157" i="9"/>
  <c r="D156" i="9"/>
  <c r="E134" i="9"/>
  <c r="E133" i="9"/>
  <c r="E147" i="10"/>
  <c r="E137" i="9"/>
  <c r="E138" i="9"/>
  <c r="F102" i="10"/>
  <c r="F103" i="10"/>
  <c r="F89" i="9" l="1"/>
  <c r="E105" i="9"/>
  <c r="E141" i="9" s="1"/>
  <c r="E142" i="9" s="1"/>
  <c r="H22" i="9" s="1"/>
  <c r="C32" i="12" s="1"/>
  <c r="E106" i="9"/>
  <c r="F100" i="9" s="1"/>
  <c r="E142" i="10"/>
  <c r="H22" i="10" s="1"/>
  <c r="D32" i="12" s="1"/>
  <c r="E165" i="10"/>
  <c r="E140" i="9"/>
  <c r="D172" i="9"/>
  <c r="D158" i="9"/>
  <c r="E135" i="9"/>
  <c r="F99" i="9"/>
  <c r="D159" i="9"/>
  <c r="D170" i="9"/>
  <c r="E139" i="9"/>
  <c r="D163" i="9"/>
  <c r="E93" i="9"/>
  <c r="E149" i="10"/>
  <c r="E148" i="10"/>
  <c r="D162" i="9"/>
  <c r="C16" i="12" l="1"/>
  <c r="H30" i="9"/>
  <c r="C17" i="12"/>
  <c r="H31" i="9"/>
  <c r="E107" i="9"/>
  <c r="E147" i="9" s="1"/>
  <c r="E108" i="9"/>
  <c r="E145" i="9"/>
  <c r="E146" i="9" s="1"/>
  <c r="E109" i="9"/>
  <c r="F101" i="9"/>
  <c r="F103" i="9" s="1"/>
  <c r="H26" i="10"/>
  <c r="H27" i="10" s="1"/>
  <c r="E150" i="10"/>
  <c r="E117" i="10"/>
  <c r="E170" i="10"/>
  <c r="G170" i="10" s="1"/>
  <c r="E169" i="10"/>
  <c r="G169" i="10" s="1"/>
  <c r="D36" i="12" l="1"/>
  <c r="F102" i="9"/>
  <c r="E173" i="9"/>
  <c r="E164" i="9"/>
  <c r="B22" i="11" s="1"/>
  <c r="D23" i="11" s="1"/>
  <c r="E165" i="9"/>
  <c r="B24" i="11" s="1"/>
  <c r="D25" i="11" s="1"/>
  <c r="F111" i="10"/>
  <c r="E119" i="10"/>
  <c r="F113" i="10" s="1"/>
  <c r="E118" i="10"/>
  <c r="E149" i="9"/>
  <c r="E148" i="9"/>
  <c r="H26" i="9" s="1"/>
  <c r="H27" i="9" s="1"/>
  <c r="E150" i="9" l="1"/>
  <c r="E117" i="9"/>
  <c r="E170" i="9"/>
  <c r="G170" i="9" s="1"/>
  <c r="E169" i="9"/>
  <c r="G169" i="9" s="1"/>
  <c r="F22" i="11"/>
  <c r="F23" i="11" s="1"/>
  <c r="C36" i="12"/>
  <c r="F24" i="11"/>
  <c r="F25" i="11" s="1"/>
  <c r="E120" i="10"/>
  <c r="E153" i="10" s="1"/>
  <c r="E122" i="10"/>
  <c r="E143" i="10"/>
  <c r="E144" i="10" s="1"/>
  <c r="F112" i="10"/>
  <c r="F114" i="10" s="1"/>
  <c r="F128" i="10"/>
  <c r="E121" i="10"/>
  <c r="F115" i="10" l="1"/>
  <c r="F136" i="10" s="1"/>
  <c r="F116" i="10"/>
  <c r="E174" i="10"/>
  <c r="E175" i="10" s="1"/>
  <c r="F132" i="10"/>
  <c r="E155" i="10"/>
  <c r="E154" i="10"/>
  <c r="H23" i="10" s="1"/>
  <c r="D33" i="12" s="1"/>
  <c r="F129" i="10"/>
  <c r="F130" i="10"/>
  <c r="F131" i="10" s="1"/>
  <c r="E152" i="10"/>
  <c r="E151" i="10"/>
  <c r="E119" i="9"/>
  <c r="F113" i="9" s="1"/>
  <c r="E118" i="9"/>
  <c r="F111" i="9"/>
  <c r="E121" i="9" l="1"/>
  <c r="E161" i="10"/>
  <c r="E160" i="10"/>
  <c r="E120" i="9"/>
  <c r="E153" i="9" s="1"/>
  <c r="E122" i="9"/>
  <c r="E143" i="9"/>
  <c r="E144" i="9" s="1"/>
  <c r="F134" i="10"/>
  <c r="E162" i="10" s="1"/>
  <c r="F133" i="10"/>
  <c r="F112" i="9"/>
  <c r="F114" i="9" s="1"/>
  <c r="F128" i="9"/>
  <c r="E157" i="10"/>
  <c r="E156" i="10"/>
  <c r="E168" i="10"/>
  <c r="G168" i="10" s="1"/>
  <c r="H17" i="10" s="1"/>
  <c r="F137" i="10"/>
  <c r="F138" i="10"/>
  <c r="F139" i="10" s="1"/>
  <c r="E163" i="10" l="1"/>
  <c r="E174" i="9"/>
  <c r="E175" i="9" s="1"/>
  <c r="F116" i="9"/>
  <c r="F115" i="9"/>
  <c r="F136" i="9" s="1"/>
  <c r="F132" i="9"/>
  <c r="D27" i="12"/>
  <c r="H21" i="10"/>
  <c r="D31" i="12" s="1"/>
  <c r="E155" i="9"/>
  <c r="E154" i="9"/>
  <c r="H23" i="9" s="1"/>
  <c r="C33" i="12" s="1"/>
  <c r="E152" i="9"/>
  <c r="E151" i="9"/>
  <c r="F129" i="9"/>
  <c r="F130" i="9"/>
  <c r="F131" i="9" s="1"/>
  <c r="F135" i="10"/>
  <c r="E158" i="10"/>
  <c r="E172" i="10"/>
  <c r="D171" i="10" l="1"/>
  <c r="F138" i="9"/>
  <c r="E163" i="9" s="1"/>
  <c r="F137" i="9"/>
  <c r="C171" i="10"/>
  <c r="E161" i="9"/>
  <c r="E160" i="9"/>
  <c r="E156" i="9"/>
  <c r="E157" i="9"/>
  <c r="E168" i="9"/>
  <c r="G168" i="9" s="1"/>
  <c r="H17" i="9" s="1"/>
  <c r="F134" i="9"/>
  <c r="E162" i="9" s="1"/>
  <c r="F133" i="9"/>
  <c r="C27" i="12" l="1"/>
  <c r="E158" i="9"/>
  <c r="E172" i="9"/>
  <c r="F135" i="9"/>
  <c r="E159" i="9"/>
  <c r="H11" i="9" s="1"/>
  <c r="H21" i="9" s="1"/>
  <c r="F139" i="9"/>
  <c r="C31" i="12" l="1"/>
  <c r="D171" i="9"/>
  <c r="E171" i="9"/>
  <c r="C171" i="9"/>
  <c r="C21" i="12"/>
</calcChain>
</file>

<file path=xl/sharedStrings.xml><?xml version="1.0" encoding="utf-8"?>
<sst xmlns="http://schemas.openxmlformats.org/spreadsheetml/2006/main" count="921" uniqueCount="416">
  <si>
    <t>P/NAV for ABC REIT</t>
  </si>
  <si>
    <t>P/NAV in ABC REIT's underlyng real estate</t>
  </si>
  <si>
    <t>Cap rate in property market</t>
  </si>
  <si>
    <t>Year 1:</t>
  </si>
  <si>
    <t>Property NOI</t>
  </si>
  <si>
    <t>Prop.Level</t>
  </si>
  <si>
    <t>Corp.Level</t>
  </si>
  <si>
    <t>EBITDA</t>
  </si>
  <si>
    <t>Cap Ex</t>
  </si>
  <si>
    <t>Int Expense</t>
  </si>
  <si>
    <t>Debt Amort</t>
  </si>
  <si>
    <t>EBTCF</t>
  </si>
  <si>
    <t>FFO</t>
  </si>
  <si>
    <t>Depreciation Expense</t>
  </si>
  <si>
    <t>GAAP Net Income</t>
  </si>
  <si>
    <t>AFFO(FAD)</t>
  </si>
  <si>
    <t>GAAP Net Income (taxable)</t>
  </si>
  <si>
    <t>Min reqd div payout to hold REIT status</t>
  </si>
  <si>
    <t>Property (Assets) Value</t>
  </si>
  <si>
    <t>Initial shares outstanding</t>
  </si>
  <si>
    <t>Debt Int Rate</t>
  </si>
  <si>
    <t>Debt Liability</t>
  </si>
  <si>
    <t>Equity Value</t>
  </si>
  <si>
    <t>Observed P/NAV in REIT shares</t>
  </si>
  <si>
    <t>REIT stock price/share</t>
  </si>
  <si>
    <t>End of Yr.1 Actions:</t>
  </si>
  <si>
    <t>New equity. No. of shares:</t>
  </si>
  <si>
    <t>Combine w new debt in same proportion:</t>
  </si>
  <si>
    <t>Debt Capital raised:</t>
  </si>
  <si>
    <t>Equity Capital raised:</t>
  </si>
  <si>
    <t>Issue % new capital:</t>
  </si>
  <si>
    <t>Total Capital raised:</t>
  </si>
  <si>
    <t>New property purchased:</t>
  </si>
  <si>
    <t>NPV of  deal in stock mkt:</t>
  </si>
  <si>
    <t>NPV of  transaction in property mkt:</t>
  </si>
  <si>
    <t>Beginning of Yr.2:</t>
  </si>
  <si>
    <t>New property (assets) value:</t>
  </si>
  <si>
    <t>Checking</t>
  </si>
  <si>
    <t>Stock  Mkt Val</t>
  </si>
  <si>
    <t>Prop Mkt Val</t>
  </si>
  <si>
    <t>New shares outstanding</t>
  </si>
  <si>
    <t>New stock price/share</t>
  </si>
  <si>
    <t>New debt liability:</t>
  </si>
  <si>
    <t>New Equity Value:</t>
  </si>
  <si>
    <t>New P/NAV in REIT shares</t>
  </si>
  <si>
    <t>Not quite as accretive as it could be because new shares issued at old value that doesn't reflect growth opportunity.</t>
  </si>
  <si>
    <t>New property NOI</t>
  </si>
  <si>
    <t>Incremental EBITDA</t>
  </si>
  <si>
    <t>EPS (AFFO based)</t>
  </si>
  <si>
    <t>New Property EBTCF</t>
  </si>
  <si>
    <t>Incremental AFFO:</t>
  </si>
  <si>
    <t>Incremental EPS:</t>
  </si>
  <si>
    <t>New Earnings Total:</t>
  </si>
  <si>
    <t>New EPS</t>
  </si>
  <si>
    <t>Accretive, due purely to differential valuation allowing purchase at higher yield in prop mkt than in stock mkt</t>
  </si>
  <si>
    <t>EBITDA/VAL in stk mkt</t>
  </si>
  <si>
    <t>Earnings yield REIT</t>
  </si>
  <si>
    <t>New Earnings yield REIT</t>
  </si>
  <si>
    <t>Dividend payout</t>
  </si>
  <si>
    <t>Div/Sh</t>
  </si>
  <si>
    <t>Div yield REIT</t>
  </si>
  <si>
    <t>Init NOI</t>
  </si>
  <si>
    <t>CapEx fraction of NOI</t>
  </si>
  <si>
    <t>Int rate on debt (non-amort)</t>
  </si>
  <si>
    <t>NOI &amp; Val same store growth</t>
  </si>
  <si>
    <t>PBTCF (operations)</t>
  </si>
  <si>
    <t>PBTCF (reversion)</t>
  </si>
  <si>
    <t>NOI (=EBITDA) same store 2nd yr</t>
  </si>
  <si>
    <t>CapEx on 2nd yr assets</t>
  </si>
  <si>
    <t>Int on debt on 2nd yr assets</t>
  </si>
  <si>
    <t>EBTCF = FAD 2nd yr cohort</t>
  </si>
  <si>
    <t>Dividends paid out from 2nd yr cohort</t>
  </si>
  <si>
    <t>Plowback from 2nd yr cohort</t>
  </si>
  <si>
    <t>Asset Value 2nd yr cohort</t>
  </si>
  <si>
    <t>Debt Liability 2nd yr cohort</t>
  </si>
  <si>
    <t>Equity Value 2nd Yr cohort</t>
  </si>
  <si>
    <t>Earnings (FAD) yield on 2nd yr cohort</t>
  </si>
  <si>
    <t>Dividend yield on 2nd yr cohort</t>
  </si>
  <si>
    <t>NOI (=EBITDA) same store 3rd yr</t>
  </si>
  <si>
    <t>CapEx on 3rd yr assets</t>
  </si>
  <si>
    <t>Int on debt on 3rd yr assets</t>
  </si>
  <si>
    <t>EBTCF = FAD 3rd yr cohort</t>
  </si>
  <si>
    <t>Dividends paid out from 3rd yr cohort</t>
  </si>
  <si>
    <t>Plowback from 3rd yr cohort</t>
  </si>
  <si>
    <t>Asset Value 3rd yr cohort</t>
  </si>
  <si>
    <t>Debt Liability 3rd yr cohort</t>
  </si>
  <si>
    <t>Equity Value 3rd Yr cohort</t>
  </si>
  <si>
    <t>Dividend yield on 3rd yr cohort</t>
  </si>
  <si>
    <t>Earnings (FAD) yield on 3rd yr cohort</t>
  </si>
  <si>
    <t>Year:</t>
  </si>
  <si>
    <t>REIT EBITDA</t>
  </si>
  <si>
    <t>Growth rate</t>
  </si>
  <si>
    <t>REIT Dividends</t>
  </si>
  <si>
    <t>Equity CF</t>
  </si>
  <si>
    <t>Property level OCC (unlevered)</t>
  </si>
  <si>
    <t>Property equity OCC (levered)</t>
  </si>
  <si>
    <t>REIT OCC</t>
  </si>
  <si>
    <t>REIT investment CF</t>
  </si>
  <si>
    <t>REIT Dividend Yield</t>
  </si>
  <si>
    <t>Property equity level yield</t>
  </si>
  <si>
    <t>Property level cash yield (unlevd)</t>
  </si>
  <si>
    <t>REIT dividend yield</t>
  </si>
  <si>
    <t>Property NOI yield ("cap rate")</t>
  </si>
  <si>
    <t>&lt;== Effect of plowback.</t>
  </si>
  <si>
    <t>Property level (same store) r-y=</t>
  </si>
  <si>
    <t>Same store equity (levrd) r-y=</t>
  </si>
  <si>
    <t>REIT level r-y=</t>
  </si>
  <si>
    <t>REIT FAD (= "EPS" here)</t>
  </si>
  <si>
    <t>Inputs:</t>
  </si>
  <si>
    <t>Outputs:</t>
  </si>
  <si>
    <r>
      <t xml:space="preserve">= gE + </t>
    </r>
    <r>
      <rPr>
        <i/>
        <sz val="10"/>
        <rFont val="Arial"/>
        <family val="2"/>
      </rPr>
      <t>p</t>
    </r>
    <r>
      <rPr>
        <sz val="10"/>
        <rFont val="Arial"/>
        <family val="2"/>
      </rPr>
      <t>yE</t>
    </r>
  </si>
  <si>
    <r>
      <t>Plowback ratio (in FAD) = "</t>
    </r>
    <r>
      <rPr>
        <i/>
        <sz val="10"/>
        <rFont val="Arial"/>
        <family val="2"/>
      </rPr>
      <t>p</t>
    </r>
    <r>
      <rPr>
        <sz val="10"/>
        <rFont val="Arial"/>
        <family val="2"/>
      </rPr>
      <t>"</t>
    </r>
  </si>
  <si>
    <t>This also demonstrates how REIT equity can grow faster even than levered property equity, even without any positive NPV deals or any external financing, simply by plowing back some earnings into new property investments at market value.</t>
  </si>
  <si>
    <t>However, no value is created or destroyed in this process, no arbitrage, no positive (or negative) NPV, and both the risk and OCC (expected investment return) of the REIT is the same as equivalently-levered direct property investment.</t>
  </si>
  <si>
    <t>Here is the first three years of history of a simple REIT that grows only via internally financed expansion (# shares outstanding remains constant, so we can treat "earnings" as same as EPS) and buys properties at market value (in a very static market)…</t>
  </si>
  <si>
    <t>as observedin green Street</t>
  </si>
  <si>
    <t>A simple one-time example of arbitrage share value accretion when stock (REIT share) market values underlying real estate more highly than the property market does (as per section 12.3 in text)…</t>
  </si>
  <si>
    <t>ABC REIT, 3 years of history…</t>
  </si>
  <si>
    <t>NOI (=EBITDA) same store original cohort</t>
  </si>
  <si>
    <t>CapEx on original cohort assets</t>
  </si>
  <si>
    <t>PBTCF (total) on original cohort</t>
  </si>
  <si>
    <t>Int on debt on original cohort assets</t>
  </si>
  <si>
    <t>EBTCF = FAD original cohort</t>
  </si>
  <si>
    <t>Dividends paid out from original cohort</t>
  </si>
  <si>
    <t>Plowback from original cohort</t>
  </si>
  <si>
    <t>Asset Value original cohort</t>
  </si>
  <si>
    <t>Debt Liability original cohort</t>
  </si>
  <si>
    <t>Equity Value original cohort</t>
  </si>
  <si>
    <t>Earnings (FAD) yield on original cohort</t>
  </si>
  <si>
    <t>Dividend yield on original cohort</t>
  </si>
  <si>
    <t>Increment in 3rd yr cohort (from original &amp; 2nd yr plowback)</t>
  </si>
  <si>
    <t>Aggregate the REIT across all cohorts…</t>
  </si>
  <si>
    <t>REIT EPS Yield</t>
  </si>
  <si>
    <t>==&gt; IRR=</t>
  </si>
  <si>
    <t>Orig # Shares outstanding</t>
  </si>
  <si>
    <t>External equity gro rate/yr</t>
  </si>
  <si>
    <t>Increment in 2nd yr cohort (from external equity issuance)</t>
  </si>
  <si>
    <t>Shares EOP (after new issuance)</t>
  </si>
  <si>
    <t>Shares BOP (EOP before new issuance)</t>
  </si>
  <si>
    <t>REIT equity value EOP before new issuance</t>
  </si>
  <si>
    <t>REIT equity value EOP after new issuance</t>
  </si>
  <si>
    <t>Price/Share after new issuance</t>
  </si>
  <si>
    <t>Asset Value 2nd yr plowback cohort</t>
  </si>
  <si>
    <t>Debt Liability 2nd yr plowback cohort</t>
  </si>
  <si>
    <t>Equity Value 2nd Yr plowback cohort</t>
  </si>
  <si>
    <t>Asset Value 2nd yr external cohort</t>
  </si>
  <si>
    <t>Debt Liability 2nd yr external cohort</t>
  </si>
  <si>
    <t>Equity Value 2nd Yr external cohort</t>
  </si>
  <si>
    <t>Increment in 3rd yr cohort (from external equity issuance)</t>
  </si>
  <si>
    <t>EBITDA/Share (prior to new issue)</t>
  </si>
  <si>
    <t>REIT FAD (company earnings)</t>
  </si>
  <si>
    <t>FAD/Share (EPS)</t>
  </si>
  <si>
    <t>Dividend/Share</t>
  </si>
  <si>
    <t>Asset Value 3rd yr external cohort</t>
  </si>
  <si>
    <t>Debt Liability 3rd yr external cohort</t>
  </si>
  <si>
    <t>Equity Value 3rd Yr external cohort</t>
  </si>
  <si>
    <t>REIT level r-y= Div. gro rate =</t>
  </si>
  <si>
    <t>REIT aggregate assets gro rate</t>
  </si>
  <si>
    <t>REIT aggregate equity gro rate</t>
  </si>
  <si>
    <t>REIT Property Assets (EOP before new issue)</t>
  </si>
  <si>
    <t>REIT Property Assets (EOP after new issue)</t>
  </si>
  <si>
    <t>REIT Debt/Total Assets Ratio</t>
  </si>
  <si>
    <t>REIT DS Coverage Ratio (EBITDA/Int)</t>
  </si>
  <si>
    <t>REIT Debt/Total Assets Ratio (After new issuance, but same as before)</t>
  </si>
  <si>
    <t>= yE</t>
  </si>
  <si>
    <t>= y</t>
  </si>
  <si>
    <t>= gE</t>
  </si>
  <si>
    <t>= yP</t>
  </si>
  <si>
    <t>= rP</t>
  </si>
  <si>
    <t>= rE</t>
  </si>
  <si>
    <t>= r</t>
  </si>
  <si>
    <t>= gP</t>
  </si>
  <si>
    <t>= g   =</t>
  </si>
  <si>
    <t>This is just like the preceding Simple REIT, except now the REIT "grows" by issuing new equity each year (at a constant rate, that is each year the same proportion of new stock is issued).</t>
  </si>
  <si>
    <t>Which is reinvested in property assets just like the other properties.</t>
  </si>
  <si>
    <t>ABC REIT keeps a constant debt/equity ratio, employing interest-only (non-amortizing) debt with a constant interest rate; and ABC REIT always plows back the same ratio of its earnings each year for reinvestment in new properties identical to its previous ones. The properties themselves provide a constant growth rate in both income and value, and require a constant fraction of income to be spent on capital improvement expenditures ("CapEx") to keep the properties well maintained.</t>
  </si>
  <si>
    <t>Model of "growing" REIT (but not a true "growth REIT"):</t>
  </si>
  <si>
    <t>Stock (REIT) Mkt P/NAV in underlying property assets</t>
  </si>
  <si>
    <t>PBTCF (total) on original cohort (in priv prop mkt)</t>
  </si>
  <si>
    <t>REIT equity P/NAV (e.g., "Green St")</t>
  </si>
  <si>
    <t>Property equity OCC in REIT Mkt (levered)</t>
  </si>
  <si>
    <t>Property equity OCC in Priv Prop Mkt (levered)</t>
  </si>
  <si>
    <t>Property level cash yield (unlevd) (Stk Mkt)</t>
  </si>
  <si>
    <t>Property level cash yield (unlevd) (Priv Mkt)</t>
  </si>
  <si>
    <t>= yP (stkmkt)</t>
  </si>
  <si>
    <t>= yP (privmkt)</t>
  </si>
  <si>
    <t>&lt;== Effect of micro-level differential valuation</t>
  </si>
  <si>
    <t>= yE (stkmkt)</t>
  </si>
  <si>
    <t>Property level OCC (unlevered) (Priv Mkt)</t>
  </si>
  <si>
    <t>= rP (privmkt)</t>
  </si>
  <si>
    <t>= rE (privmkt)</t>
  </si>
  <si>
    <t>= rE (stkmkt)</t>
  </si>
  <si>
    <t>REIT Property Assets (EOP before new issue) (stkmkt val)</t>
  </si>
  <si>
    <t>REIT Property Assets (EOP after new issue) (stkmkt val)</t>
  </si>
  <si>
    <t>= r (stkmkt)</t>
  </si>
  <si>
    <t>ABC REIT, 4 years of history…</t>
  </si>
  <si>
    <t>Asset Value original cohort (priv mkt val)</t>
  </si>
  <si>
    <t>Asset Value 2nd yr plowback cohort (stkmkt val)</t>
  </si>
  <si>
    <t>Asset Value 2nd yr plowback cohort (privmkt val)</t>
  </si>
  <si>
    <t>Asset Value 2nd yr external cohort (stkmkt val)</t>
  </si>
  <si>
    <t>Asset Value 2nd yr external cohort (privmkt val)</t>
  </si>
  <si>
    <t>Asset Value 3rd yr cohort (stkmkt)</t>
  </si>
  <si>
    <t>Asset Value 3rd yr cohort (privmkt)</t>
  </si>
  <si>
    <t>Asset Value 3rd yr external cohort (stkmkt)</t>
  </si>
  <si>
    <t>Asset Value 3rd yr external cohort (privmkt)</t>
  </si>
  <si>
    <t>= y (stkmkt)</t>
  </si>
  <si>
    <t>Property equity level yield (levd) (Priv Mkt)</t>
  </si>
  <si>
    <t>Property equity level yield (levd) (Stk Mkt)</t>
  </si>
  <si>
    <t>= yE (privmkt)</t>
  </si>
  <si>
    <t>= gP (privmkt)</t>
  </si>
  <si>
    <t>= gE (privmmkt)</t>
  </si>
  <si>
    <t>= gE (stkmkt)</t>
  </si>
  <si>
    <t>REIT Property Assets</t>
  </si>
  <si>
    <t>REIT Debt</t>
  </si>
  <si>
    <t>REIT debt/val ratio</t>
  </si>
  <si>
    <t>&lt;== Effect of plowback</t>
  </si>
  <si>
    <t>NPV of acquisition (stkmkt val)</t>
  </si>
  <si>
    <t>NPV of acquisition (privmkt val)</t>
  </si>
  <si>
    <t>NPV (stkmkt val) of new acquisitions</t>
  </si>
  <si>
    <t>Share price new issuance increment X #shares</t>
  </si>
  <si>
    <t>Component of acquisition NPV due to external new share issuance</t>
  </si>
  <si>
    <t>&lt;== Results only from new share issuance, because EOP share valuation before new issuance already reflects NPV of plowback acquisition.</t>
  </si>
  <si>
    <t>PBTCF (total) on original cohort (stkmkt val)</t>
  </si>
  <si>
    <t>Property level OCC (unlevered) (Stk Mkt)</t>
  </si>
  <si>
    <t>Increment in 4th yr cohort (from 1st &amp; 2nd &amp; 3rd yr plowbacks)</t>
  </si>
  <si>
    <t>Increment in 3rd yr cohort (from 1st &amp; 2nd yr plowbacks)</t>
  </si>
  <si>
    <t>Increment in 2nd yr cohort (from 1st yr (original cohort) plowback)</t>
  </si>
  <si>
    <t>Increment in 4th yr cohort (from external equity issuance)</t>
  </si>
  <si>
    <t>NOI (=EBITDA) same store 4th yr</t>
  </si>
  <si>
    <t>CapEx on 4th yr assets</t>
  </si>
  <si>
    <t>Int on debt on 4th yr assets</t>
  </si>
  <si>
    <t>EBTCF = FAD 4th yr cohort</t>
  </si>
  <si>
    <t>Dividends paid out from 4th yr cohort</t>
  </si>
  <si>
    <t>Plowback from 4th yr cohort</t>
  </si>
  <si>
    <t>Asset Value 4th yr cohort (privmkt)</t>
  </si>
  <si>
    <t>Asset Value 4th yr cohort (stkmkt)</t>
  </si>
  <si>
    <t>Debt Liability 4th yr cohort</t>
  </si>
  <si>
    <t>Equity Value 4th Yr cohort</t>
  </si>
  <si>
    <t>Asset Value 4th yr external cohort (privmkt)</t>
  </si>
  <si>
    <t>Asset Value 4th yr external cohort (stkmkt)</t>
  </si>
  <si>
    <t>Debt Liability 4th yr external cohort</t>
  </si>
  <si>
    <t>Equity Value 4th Yr external cohort</t>
  </si>
  <si>
    <t>&lt;== The equity contribution is multiplied by the V/E factor so as to keep a constant leverage ratio in the REIT. The equity contribution consists not only of the earnings plowback, but also of the cashing out of the growth in pre-existing property value by the debt increment that keeps the REIT leverage ratio constant.</t>
  </si>
  <si>
    <t>REIT Investment Return (entity level equity)</t>
  </si>
  <si>
    <t>REIT investment CF (prior - prior)</t>
  </si>
  <si>
    <t>REIT investment CF (after - after)</t>
  </si>
  <si>
    <t>REIT investment CF (after - prior)</t>
  </si>
  <si>
    <t>&lt;== "Super-Normal" return (to the extent exceeds rE stkmkt in previous row) due to myopia or ex post favorable surprise of continuing favorable differential micro-level valuation enabling "arbitrage".</t>
  </si>
  <si>
    <t>Here we model the same simple REIT as before, growing uniformly (after year 0) through both internal financing (plowback) and external financing (new equity issuance), keeping constant leverage (V/E ratio), only now…</t>
  </si>
  <si>
    <t>We allow for micro-level differential valuation of property between the stock (REIT) market and the private (direct) property market, as input in the "P/NAV" input.</t>
  </si>
  <si>
    <t>&lt;== Differs from yE (stkmkt) due to micro-level differential valuation.</t>
  </si>
  <si>
    <t>"Effect" vs rate in previous row:</t>
  </si>
  <si>
    <t>Equity CF (privmkt val)</t>
  </si>
  <si>
    <t>Equity CF (stkmkt val)</t>
  </si>
  <si>
    <t>= g (stkmkt)</t>
  </si>
  <si>
    <r>
      <t xml:space="preserve">&lt;== Greater than classical gE + </t>
    </r>
    <r>
      <rPr>
        <i/>
        <sz val="10"/>
        <rFont val="Arial"/>
        <family val="2"/>
      </rPr>
      <t>p</t>
    </r>
    <r>
      <rPr>
        <sz val="10"/>
        <rFont val="Arial"/>
        <family val="2"/>
      </rPr>
      <t>yE because includes effect not only of classical plowback but also of "Fundamental Growth Opportunities" (as defined in 24.1.2) from arbitrage-based growth (positive NPV opportunities).</t>
    </r>
  </si>
  <si>
    <t>REIT Property Assets (EOP before new issue) (privmkt val)</t>
  </si>
  <si>
    <t>REIT Debt outstanding (EOP before new issuance)</t>
  </si>
  <si>
    <t>REIT Debt/Total Assets Ratio (After new issuance) (stkmkt val)</t>
  </si>
  <si>
    <t>REIT Debt/Total Assets Ratio (Before new issuance) (stkmkt val)</t>
  </si>
  <si>
    <t>REIT Debt/Total Assets Ratio (Before new issuance) (privmkt val)</t>
  </si>
  <si>
    <t>REIT equity value EOP before new issuance (stkmkt val)</t>
  </si>
  <si>
    <t>REIT equity value EOP before new issuance (privmkt val)</t>
  </si>
  <si>
    <t>REIT P/NAV (e.g., "Green Street")</t>
  </si>
  <si>
    <t>Scenario Inputs:</t>
  </si>
  <si>
    <t>REIT Mgt Policy Inputs:</t>
  </si>
  <si>
    <t>Debt Svc Coverage Ratio (NOI/int)</t>
  </si>
  <si>
    <t>&lt;== Reflects non-amortizing debt.</t>
  </si>
  <si>
    <t>&lt;== Effect of micro-level differential valuation (including also slightly reduced leverage).</t>
  </si>
  <si>
    <t>REIT val by DIV/(r-g) =</t>
  </si>
  <si>
    <t>REIT val by EPS/(r-gE) =</t>
  </si>
  <si>
    <t>REIT share val by DIV/(r-g) =</t>
  </si>
  <si>
    <t>REIT share val by EPS/(r-gE) =</t>
  </si>
  <si>
    <t>Forward-looking REIT EPS (prior) =</t>
  </si>
  <si>
    <t>Acquisition incremental forward-looking EPS =</t>
  </si>
  <si>
    <r>
      <t xml:space="preserve">= g = gE + </t>
    </r>
    <r>
      <rPr>
        <i/>
        <sz val="10"/>
        <rFont val="Arial"/>
        <family val="2"/>
      </rPr>
      <t>p</t>
    </r>
    <r>
      <rPr>
        <sz val="10"/>
        <rFont val="Arial"/>
        <family val="2"/>
      </rPr>
      <t>yE = g</t>
    </r>
  </si>
  <si>
    <t>Ratio of incremental to pre-existing EPS =</t>
  </si>
  <si>
    <t>&lt;== Same as REIT equity P/NAV premium ratio.</t>
  </si>
  <si>
    <t>&lt;== Note: Steady-state not reached until second year (because year 0 does not include expansion).</t>
  </si>
  <si>
    <t>&lt;== The equity contribution is multiplied by the "($B$32/$B$34)/((1-$B$17)*($B$32/$B$34)+$B$17)" factor so as to keep a constant leverage ratio in the REIT of ($B$32/$B$34) as measued by stock market valuation. Note that this factor collapses to ($B$32/$B</t>
  </si>
  <si>
    <t>Here we model the same simple REIT as before, only in the situation where the P/NAV ratio is less than one (stock mkt values properties lower than property market does).</t>
  </si>
  <si>
    <t>&lt;== Acquisition is "dilutive" (share value reducing, negative NPV); Disposition is "accretive" (share value enhancing, positive NPV); as indicated by incremental EPS &lt; pre-existing EPS.</t>
  </si>
  <si>
    <t>NPV (stkmkt val) of dispositions</t>
  </si>
  <si>
    <t>Component of disposition NPV due to buyback of outstanding shares</t>
  </si>
  <si>
    <t>REIT equity value EOP after stock buy-back</t>
  </si>
  <si>
    <t>Shares BOP (EOP before stock buy-back)</t>
  </si>
  <si>
    <t>Shares EOP (after stock buy-back)</t>
  </si>
  <si>
    <t>EBITDA/Share (prior tostock buy-back)</t>
  </si>
  <si>
    <t>The REIT shrinks uniformly (after year 1, through year 2) through disposition of property assets and using proceeds to buy back outstanding stock and retire associated debt (also paying out in dividends not only the REIT's entire property earnings but also any debt net increment cash proceeds used to maintain a constant leverage ratio on the property assets still held).</t>
  </si>
  <si>
    <t>(Note: The entered P/NAV is that in the underlying properties, without any leverage. The observable REIT P/NAV, as would be measured by Green Street for example, will be less according to the REIT's leverage.)</t>
  </si>
  <si>
    <t>&lt;== Should be zero.</t>
  </si>
  <si>
    <t>&lt;== Should be negative.</t>
  </si>
  <si>
    <t>Increment in 2nd yr cohort (from buy-back of existing stock using asset sale proceeds)</t>
  </si>
  <si>
    <t>Increment in 3rd yr cohort (from buy-back of existing stock using asset sale proceeds)</t>
  </si>
  <si>
    <t>Increment in 4th yr cohort (from buy-back of existing stock using asset sale proceeds)</t>
  </si>
  <si>
    <t>&lt;== Effect of micro-level differential valuation (including also slightly increased leverage).</t>
  </si>
  <si>
    <t>&lt;== Effect of leverage.</t>
  </si>
  <si>
    <t>NPV of disposition (privmkt val)</t>
  </si>
  <si>
    <t>NPV of disposition (stkmkt val)</t>
  </si>
  <si>
    <t>REIT Property Assets (EOP before stock buy-back) (privmkt val)</t>
  </si>
  <si>
    <t>REIT Property Assets (EOP before stock buy-back) (stkmkt val)</t>
  </si>
  <si>
    <t>REIT Property Assets (EOP after stock buy-back) (stkmkt val)</t>
  </si>
  <si>
    <t>REIT Debt outstanding (EOP before stock buy-back)</t>
  </si>
  <si>
    <t>REIT equity value EOP before stock buy-back (privmkt val)</t>
  </si>
  <si>
    <t>REIT equity value EOP before stock buy-back (stkmkt val)</t>
  </si>
  <si>
    <t>Price/Share before stock buy-back</t>
  </si>
  <si>
    <t>Price/Share after stock buy-back</t>
  </si>
  <si>
    <t>REIT Debt/Total Assets Ratio (Before stock buy-back) (privmkt val)</t>
  </si>
  <si>
    <t>REIT Debt/Total Assets Ratio (Before stock buy-back) (stkmkt val)</t>
  </si>
  <si>
    <t>REIT Debt/Total Assets Ratio (After stock buy-back) (stkmkt val)</t>
  </si>
  <si>
    <t>= rP (stkmkt)</t>
  </si>
  <si>
    <t>= "micro-level differential val" (if differ from 100%). Here should be less than 100%.</t>
  </si>
  <si>
    <r>
      <t xml:space="preserve">&lt;== Less than classical gE + </t>
    </r>
    <r>
      <rPr>
        <i/>
        <sz val="10"/>
        <rFont val="Arial"/>
        <family val="2"/>
      </rPr>
      <t>p</t>
    </r>
    <r>
      <rPr>
        <sz val="10"/>
        <rFont val="Arial"/>
        <family val="2"/>
      </rPr>
      <t>yE because it not only includes no plowback (</t>
    </r>
    <r>
      <rPr>
        <i/>
        <sz val="10"/>
        <rFont val="Arial"/>
        <family val="2"/>
      </rPr>
      <t>p</t>
    </r>
    <r>
      <rPr>
        <sz val="10"/>
        <rFont val="Arial"/>
        <family val="2"/>
      </rPr>
      <t xml:space="preserve"> should = 0), it reflects "shrinking REIT", that the REIT can make money (positive NPV) for its shareholders by "negative growth" (selling off property and using proceeds to buy back its stock, as described in book p.633 &amp; p.643).</t>
    </r>
  </si>
  <si>
    <t>(stkmkt val)</t>
  </si>
  <si>
    <t>&lt;== Note: Reflects "steady-state" all the way through only in Year 2.</t>
  </si>
  <si>
    <t>&lt;== Note: Steady-state not reached until second year (because year 0 does not include disposition so Yr.1 growth is abnormal for this scenario), and ends prior to yr 3 (because yr.4 does not include disposition cohort CFs so it's valuation is abnormal for this scenario).</t>
  </si>
  <si>
    <t>"ABC REIT", short histories…</t>
  </si>
  <si>
    <t>Note how REIT can grow faster even than levered investments in direct property, even without "arbitrage" (see first two worksheets), through the device of "plowing back" some of its earnings into new property acquisitions (compare 1st two worksheets).</t>
  </si>
  <si>
    <t>Note that the P/NAV &lt;&gt; 1 (micro-level differential valuation) in the "Growth REIT" and "Shrinking REIT" worksheets could conceivably result either from sector-wide "macro" level differences between the REIT vs Private Property Markets, or (alternatively or in addition) from some REIT-specific phenomenon that would apply only to a given REIT (e.g., the market's perception that a particular REIT has a unique ability to genuinely add fundamental value to at least certain types of properties, by doing things that any other property owner could not do).</t>
  </si>
  <si>
    <t>This example includes more accounting categories than the previous worksheets, but looks at only one snapshot in time (and assumes no plowback).</t>
  </si>
  <si>
    <t>Note also how the REIT can be valued using the GGM based either on dividends [P = DIV/(r-g)] or on earnings [P = EPS/(r-gE)].</t>
  </si>
  <si>
    <t>It is suggested to study the worksheets one at a time starting from left to right.</t>
  </si>
  <si>
    <t>The first worksheet is just the basics, with the REIT growing only through internally financed expansion by plowing back a portion of the REIT's net cash flow into new property acquisitions (plus some debt in the sense that the REIT keeps a constant debt/equity ratio).</t>
  </si>
  <si>
    <t>Once you are familiar with the structure and mechanics, then play around with seeing the effect of changing the inputs…</t>
  </si>
  <si>
    <t>There are "scenario inputs" that represent the environment the REIT is playing in (characteristics of the capital markets and property markets), that are exogenous to REIT management strategy.</t>
  </si>
  <si>
    <t>And there are "REIT Mgt Policy" inputs that represent basic policies the REIT's managers can change, such as leverage, plowback, and external equity based expansion rates (or contractions rates).</t>
  </si>
  <si>
    <t>See how these "scenario" and "mgt policy" inputs interact, and provide (or remove) opportunities for the REIT's investment performance.</t>
  </si>
  <si>
    <t>As before, the valuation model here assumes that stock (REIT) mkt valuation does not incorporate future arbitrage (future stream of potential positive NPV dispositions as evaluated by stk mkt) into the current share price. Either the stock market is "myopic", or it does not expect the micro-level differential valuation to persist (perhaps rationally so). In any case, the result is the REIT can earn "super-normal" profits (ex post achieved investment total return in excess of the OCC), as seen in the "Outputs" section.</t>
  </si>
  <si>
    <t>In all cases, all property purchases are made at P = Mkt Val within the private property market (NPV = 0 from a private property mkt value perspective), and expected returns remain constant (in steady-state).</t>
  </si>
  <si>
    <t>&lt;== Decreased, even though positive-NPV opportunities exist, because in this case the opportunities require shrinkage, not growth, of the REIT.</t>
  </si>
  <si>
    <t>&lt;== Similar effect in P/Div, because positive-NPV opportunity is due to "arbitrage" effect that reflects differential valuation across the two markets (stock vs private property) for ALL of the REIT's assets, including pre-existing assets in place as well as new acquisitions.</t>
  </si>
  <si>
    <t>&lt;== Note plowback can be as much as:</t>
  </si>
  <si>
    <t>of REIT cash flow (as measured by FAD).</t>
  </si>
  <si>
    <t>&lt;== REIT min reqd dividends are:</t>
  </si>
  <si>
    <t>of REIT earnings as measured by FFO.</t>
  </si>
  <si>
    <t>Note minimum required dividend payout calculation (and implication for limit to plowback-based growth).</t>
  </si>
  <si>
    <t>Worksheet (5) displays a 1-time model of a REIT that shows more accounting detail, including computation of minimum required payout (maximum possible plowback).</t>
  </si>
  <si>
    <t>Worksheet (2) adds the effect of externally financed expansion via secondary stock offerings made by the REIT (always keeping a constant debt/equity ratio).</t>
  </si>
  <si>
    <t>&lt;== Must not cause violation of the 90% payout requirement based on taxable income (see Worksheet (5)).</t>
  </si>
  <si>
    <t>Worksheet (3) shows how the REIT can "arbitrage" micro-level differential valuations between the stock and property markets, when the REIT is trading at a premium to its NAV (stock mkt values property more than the private property market does): merely by buying properties at NPV=0 in the property market the REIT becomes a "growth stock" able to do NPV &gt; 0 deals for its stockholders.</t>
  </si>
  <si>
    <t>Worksheet (4) shows how the REIT can also "arbitrage" micro-level differential valuations when they go the other way (property mkt values property more than the stock market does, REIT trades at a discount to its NAV): By selling off properties in the property market and using the proceeds to buy back its own stock.</t>
  </si>
  <si>
    <t>Plowback Ratio (FAD based)</t>
  </si>
  <si>
    <t>maximum</t>
  </si>
  <si>
    <t>prem stk</t>
  </si>
  <si>
    <t>prem prop</t>
  </si>
  <si>
    <t>L/V (privmkt)</t>
  </si>
  <si>
    <t>L/V (stkmkt)</t>
  </si>
  <si>
    <t>P/NAV leverager &amp; deleverager:</t>
  </si>
  <si>
    <t>Output:</t>
  </si>
  <si>
    <t>It is important to note that the valuation model here assumes that stock (REIT) mkt valuation does not incorporate future arbitrage (future stream of potential positive NPV acquisitions as evaluated by stk mkt) into the current share price. i.e., Either the mkt is "myopic" in this regard, or does not expect the micro-level valuation differential to continue. The result is that the REIT earns a "super-normal" return for its shareholders. This is evidenced by the differential between the REIT investment return "r (stkmkt)" versus the relevant OCC (opportunity cost of capital) indicated by the levered equity return on the levered properties as evaluated by the stock market "rE (stkmkt)". The model here is also "myopic" in that the stock price does not reflect the positive effect of the new stock issuance until after the new stock issuance, in other words, positive-NPV is shared by pre-existing and new stockholders.</t>
  </si>
  <si>
    <t>&lt;== Reflects share value AFTER new stock issuance and acquisition, as next yr Div includes dividends from the new acquisitions.</t>
  </si>
  <si>
    <t>&lt;== Reflects share value AFTER new stock issuance and acquisition, as next yr EPS includes earnings from the new acquisitions.</t>
  </si>
  <si>
    <t>P/Earnings Multiple (forward looking)</t>
  </si>
  <si>
    <t>P/Dividend Multiple (forward looking)</t>
  </si>
  <si>
    <t>P/Earnings Multiple (backward looking)</t>
  </si>
  <si>
    <t>P/Dividend Multiple (backward looking)</t>
  </si>
  <si>
    <t>&lt;== Similar to P/E only much more sensitive to plowback.</t>
  </si>
  <si>
    <t>Think about how the REIT's share price would change if the "world" suddenly and unexpectedly changed from the situation portrayed in the "Growth REIT" scenario of Worksheet (3) to the "Shrinking REIT" scenario of Worksheet (4). (Something like this is probably at least in part what happened at the end of 1997 and 1998.)</t>
  </si>
  <si>
    <t>&lt;== Increased by P/NAV premium and by positive-NPV growth opportunities (externally financed), and also (slightly) by plowback (only because the past year's earnings are unaffected by this year's plowback that will grow the next year's earnings and hence be reflected in the current end-of-year REIT stock price).</t>
  </si>
  <si>
    <t>The following worksheets present a simple model of a very simple REIT in a very simple and static property market, over a brief period of history*.</t>
  </si>
  <si>
    <t>(* Note: The model here examines the REIT in a "steady-state", a state in which the REIT will continuously provide constant returns over time. This is useful as a type of "benchmark", but of course the real world is never in a "steady-state", and some of the features characteristic of the real world do not come through exactly in the steady-state model.)</t>
  </si>
  <si>
    <t>&lt;== Increased by P/NAV premium only. (Does not reflect positive-NPV growth opportunities in this case because the future earnings from the growth opportunities are included in the forward-looking EPS.)</t>
  </si>
  <si>
    <t>&lt;== Some of this growth is cashed out by the REIT by adding to debt (keeping same D/E ratio).</t>
  </si>
  <si>
    <t>=DIV/(r-g)</t>
  </si>
  <si>
    <t>=EPS/(r-gE)</t>
  </si>
  <si>
    <t>Hence, no "value created" (or lost): Although REIT aggregate size grows faster, all the return and growth rates per share remain the same as in the "Simplified" REIT in the preceding worksheet.</t>
  </si>
  <si>
    <t>&lt;== Ex Dividend Values</t>
  </si>
  <si>
    <t>REIT equity value (EOP ex dividend)</t>
  </si>
  <si>
    <t>Price/Share before new issuance (EOP ex dividend)</t>
  </si>
  <si>
    <t>(Note: This is P/NAV in the underlying properties, without any leverage. The observable REIT P/NAV, as would be measured by Green Street for example, will be greater according to the REIT's leverage. See P/NAV leverager on Intro worksheet.)</t>
  </si>
  <si>
    <t>REIT equity value EOP after new issuance (EOP ex dividend)</t>
  </si>
  <si>
    <t>External equity gro rate/yr (shrink rate = neg this)</t>
  </si>
  <si>
    <t>Base:</t>
  </si>
  <si>
    <t>Gro:</t>
  </si>
  <si>
    <t>Shrink:</t>
  </si>
  <si>
    <r>
      <t>Plowback ratio (in FAD) = "</t>
    </r>
    <r>
      <rPr>
        <i/>
        <sz val="10"/>
        <rFont val="Arial"/>
        <family val="2"/>
      </rPr>
      <t>p</t>
    </r>
    <r>
      <rPr>
        <sz val="10"/>
        <rFont val="Arial"/>
        <family val="2"/>
      </rPr>
      <t>" (zero for shrinking)</t>
    </r>
  </si>
  <si>
    <t>&lt;== Effect of micro-level differential valuation (including also slightly changed leverage).</t>
  </si>
  <si>
    <r>
      <t xml:space="preserve">&lt;== Differs from classical gE + </t>
    </r>
    <r>
      <rPr>
        <i/>
        <sz val="10"/>
        <rFont val="Arial"/>
        <family val="2"/>
      </rPr>
      <t>p</t>
    </r>
    <r>
      <rPr>
        <sz val="10"/>
        <rFont val="Arial"/>
        <family val="2"/>
      </rPr>
      <t>yE because includes effect not only of classical plowback but also of REIT taking advantage of arbitrage-based positive NPV opportunities (which may imply either more or less than classical growth, depending on direction of arbitrage).</t>
    </r>
  </si>
  <si>
    <t>Stock (REIT) Mkt P/NAV deviation (+gro,-shrink) Prop Level (unlvrd)</t>
  </si>
  <si>
    <t xml:space="preserve">     "Effect" vs rate in previous row:</t>
  </si>
  <si>
    <t>NPV (stkmkt val) of new acquisitions (or disp for shrinking) (1st yr)</t>
  </si>
  <si>
    <t>= "micro-level differential val" (if differ from 100%). Note: This is property-level (unlevered) differential valuation.</t>
  </si>
  <si>
    <t>Inverse Fama-French Book/Mkt ratio</t>
  </si>
  <si>
    <t>Fama-French Book/Mkt ratio (inverse P/NAV)</t>
  </si>
  <si>
    <t>Higher==&gt;StkMkt return premium (price discount)</t>
  </si>
  <si>
    <t>DSCR</t>
  </si>
  <si>
    <t>Debt Liability(40yr)</t>
  </si>
  <si>
    <t>Debt Amort (40yr)</t>
  </si>
  <si>
    <t>Price/Share before new issuance (EOP1)</t>
  </si>
  <si>
    <t>Price/Share after new issuance (EOP1)</t>
  </si>
  <si>
    <t>REIT Assets (EOP1 bef new iss) (privmkt)</t>
  </si>
  <si>
    <t>REIT Assets (EOP1 bef new iss) (stkmkt)</t>
  </si>
  <si>
    <t>REIT Assets (EOP1 aft new iss) (stkmkt)</t>
  </si>
  <si>
    <t>NOI &amp; Val same store growth rate</t>
  </si>
  <si>
    <t>Asset Value original cohort (stck mkt val)</t>
  </si>
  <si>
    <t>Debt Outstanding (constant DSCR)</t>
  </si>
  <si>
    <t>Equity Value original cohort (stck mkt)</t>
  </si>
  <si>
    <t>Equity CF (privmkt val) inclu dbt proceeds</t>
  </si>
  <si>
    <t>Equity CF (stkmkt val) inclu dbt proceeds</t>
  </si>
  <si>
    <t>&lt;== Less than caprate due to capex</t>
  </si>
  <si>
    <t>= "micro-level differential val" (if differ from 100%). Here should be greater than 100%. Note: This is property-level (unlevered) differential valuation.</t>
  </si>
  <si>
    <t>&lt;== Effect of leverage in the cash yield.</t>
  </si>
  <si>
    <t>&lt;== Differs from yE (stkmkt) due to micro-level differential valuation interacting with leverage effect.</t>
  </si>
  <si>
    <t>&lt;== This is total return (not just income) and it's unlevered.</t>
  </si>
  <si>
    <t>&lt;== Effect of leverage (and this is priv mkt valuation).</t>
  </si>
  <si>
    <t>&lt;==Reflects new stck issuance + plowback + leverage + posNPV</t>
  </si>
  <si>
    <t>&lt;==Reflects constant D/E ratio</t>
  </si>
  <si>
    <t>Similar to inverse Fama-French Book/Mkt ratio</t>
  </si>
  <si>
    <t>Lower==&gt;Lower StkMkt return premium (price premium) per Fama-French</t>
  </si>
  <si>
    <t>&lt;== The equity contribution is multiplied by the "($B$35/$B$37)/((1-$B$15)*($B$35/$B$37)+$B$15)" factor so as to keep a constant leverage ratio in the REIT of ($B$32/$B$34) as measued by stock market valuation. Note that this factor collapses to ($B$32/$B$34) when the stk mkt premium $B$17 = 1.</t>
  </si>
  <si>
    <t>&lt;== Acquisition is "accretive" (share value enhancing, positive NPV), if indicated by incremental EPS &gt; pre-existing EPS.</t>
  </si>
  <si>
    <t>Simplified REIT: Numerical demonstration of: E = DIV/(r-g) = EPS/(r-gE) , as in formula (2c), p.588: Simplified REIT valuation &amp; performance model relating stock market to property mkt and REIT management strategy…</t>
  </si>
  <si>
    <t>Shares are issued at NPV=0, and property assets are bought at NPV=0, hence no "fundamental growth opportunity" (as defined in formula (3) p.589). Shares are issued at the end of the year and properties bought immediately with proceeds at end of year after dividend payout.</t>
  </si>
  <si>
    <t>Model of "growth REIT" (Based on "arbitrage" of micro-level valuation differential, as per sect.23.2.4, pp.592-593): P/NAV &gt; 1: Stock mkt values properties more than property market does.</t>
  </si>
  <si>
    <t>Model of "shrinking REIT" (Based on "arbitrage" of micro-level valuation differential): P/NAV &lt; 1:Property Market values properties more than stock mkt does.</t>
  </si>
  <si>
    <r>
      <t xml:space="preserve">Simplified REIT Model:  </t>
    </r>
    <r>
      <rPr>
        <sz val="10"/>
        <rFont val="Arial"/>
        <family val="2"/>
      </rPr>
      <t>(Relates to GMCE 3e Chapter 23…)</t>
    </r>
  </si>
</sst>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quot;$&quot;#,##0.00"/>
    <numFmt numFmtId="165" formatCode="0.0"/>
    <numFmt numFmtId="166" formatCode="#,##0.0"/>
    <numFmt numFmtId="167" formatCode="&quot;$&quot;#,##0.0000"/>
    <numFmt numFmtId="168" formatCode="#,##0.0000"/>
    <numFmt numFmtId="169" formatCode="#,##0.00000"/>
    <numFmt numFmtId="170" formatCode="#,##0.000000"/>
    <numFmt numFmtId="171" formatCode="#,##0.000"/>
    <numFmt numFmtId="172" formatCode="0.000"/>
    <numFmt numFmtId="173" formatCode="0.0%"/>
  </numFmts>
  <fonts count="8" x14ac:knownFonts="1">
    <font>
      <sz val="10"/>
      <name val="Arial"/>
    </font>
    <font>
      <sz val="10"/>
      <name val="Arial"/>
      <family val="2"/>
    </font>
    <font>
      <sz val="8"/>
      <name val="Arial"/>
      <family val="2"/>
    </font>
    <font>
      <i/>
      <sz val="10"/>
      <name val="Arial"/>
      <family val="2"/>
    </font>
    <font>
      <sz val="10"/>
      <name val="Arial"/>
      <family val="2"/>
    </font>
    <font>
      <b/>
      <i/>
      <sz val="10"/>
      <name val="Arial"/>
      <family val="2"/>
    </font>
    <font>
      <b/>
      <sz val="10"/>
      <name val="Arial"/>
      <family val="2"/>
    </font>
    <font>
      <sz val="10"/>
      <color indexed="44"/>
      <name val="Arial"/>
      <family val="2"/>
    </font>
  </fonts>
  <fills count="12">
    <fill>
      <patternFill patternType="none"/>
    </fill>
    <fill>
      <patternFill patternType="gray125"/>
    </fill>
    <fill>
      <patternFill patternType="solid">
        <fgColor indexed="13"/>
        <bgColor indexed="64"/>
      </patternFill>
    </fill>
    <fill>
      <patternFill patternType="solid">
        <fgColor indexed="47"/>
        <bgColor indexed="64"/>
      </patternFill>
    </fill>
    <fill>
      <patternFill patternType="solid">
        <fgColor indexed="43"/>
        <bgColor indexed="64"/>
      </patternFill>
    </fill>
    <fill>
      <patternFill patternType="solid">
        <fgColor indexed="42"/>
        <bgColor indexed="64"/>
      </patternFill>
    </fill>
    <fill>
      <patternFill patternType="solid">
        <fgColor indexed="41"/>
        <bgColor indexed="64"/>
      </patternFill>
    </fill>
    <fill>
      <patternFill patternType="solid">
        <fgColor indexed="44"/>
        <bgColor indexed="64"/>
      </patternFill>
    </fill>
    <fill>
      <patternFill patternType="solid">
        <fgColor indexed="46"/>
        <bgColor indexed="64"/>
      </patternFill>
    </fill>
    <fill>
      <patternFill patternType="solid">
        <fgColor indexed="45"/>
        <bgColor indexed="64"/>
      </patternFill>
    </fill>
    <fill>
      <patternFill patternType="solid">
        <fgColor rgb="FF99CCFF"/>
        <bgColor indexed="64"/>
      </patternFill>
    </fill>
    <fill>
      <patternFill patternType="solid">
        <fgColor rgb="FFCCFFCC"/>
        <bgColor indexed="64"/>
      </patternFill>
    </fill>
  </fills>
  <borders count="30">
    <border>
      <left/>
      <right/>
      <top/>
      <bottom/>
      <diagonal/>
    </border>
    <border>
      <left/>
      <right/>
      <top/>
      <bottom style="thin">
        <color indexed="64"/>
      </bottom>
      <diagonal/>
    </border>
    <border>
      <left/>
      <right/>
      <top/>
      <bottom style="double">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58">
    <xf numFmtId="0" fontId="0" fillId="0" borderId="0" xfId="0"/>
    <xf numFmtId="0" fontId="0" fillId="0" borderId="0" xfId="0" applyAlignment="1">
      <alignment horizontal="right"/>
    </xf>
    <xf numFmtId="0" fontId="0" fillId="0" borderId="0" xfId="0" applyAlignment="1">
      <alignment horizontal="left"/>
    </xf>
    <xf numFmtId="0" fontId="0" fillId="0" borderId="1" xfId="0" applyBorder="1" applyAlignment="1">
      <alignment horizontal="right"/>
    </xf>
    <xf numFmtId="0" fontId="0" fillId="2" borderId="0" xfId="0" applyFill="1" applyAlignment="1">
      <alignment horizontal="right"/>
    </xf>
    <xf numFmtId="0" fontId="0" fillId="2" borderId="0" xfId="0" applyFill="1"/>
    <xf numFmtId="164" fontId="0" fillId="2" borderId="0" xfId="0" applyNumberFormat="1" applyFill="1"/>
    <xf numFmtId="0" fontId="0" fillId="0" borderId="0" xfId="0" applyFill="1" applyAlignment="1">
      <alignment horizontal="left"/>
    </xf>
    <xf numFmtId="164" fontId="0" fillId="0" borderId="0" xfId="0" applyNumberFormat="1"/>
    <xf numFmtId="9" fontId="0" fillId="0" borderId="0" xfId="0" applyNumberFormat="1" applyAlignment="1">
      <alignment horizontal="center"/>
    </xf>
    <xf numFmtId="164" fontId="0" fillId="0" borderId="1" xfId="0" applyNumberFormat="1" applyBorder="1"/>
    <xf numFmtId="164" fontId="0" fillId="2" borderId="0" xfId="0" applyNumberFormat="1" applyFill="1" applyAlignment="1">
      <alignment horizontal="right"/>
    </xf>
    <xf numFmtId="164" fontId="0" fillId="0" borderId="1" xfId="0" applyNumberFormat="1" applyBorder="1" applyAlignment="1">
      <alignment horizontal="right"/>
    </xf>
    <xf numFmtId="164" fontId="0" fillId="0" borderId="0" xfId="0" applyNumberFormat="1" applyAlignment="1">
      <alignment horizontal="right"/>
    </xf>
    <xf numFmtId="165" fontId="0" fillId="0" borderId="0" xfId="0" applyNumberFormat="1"/>
    <xf numFmtId="166" fontId="0" fillId="0" borderId="0" xfId="0" applyNumberFormat="1"/>
    <xf numFmtId="10" fontId="0" fillId="2" borderId="0" xfId="0" applyNumberFormat="1" applyFill="1"/>
    <xf numFmtId="10" fontId="0" fillId="0" borderId="0" xfId="0" applyNumberFormat="1"/>
    <xf numFmtId="167" fontId="0" fillId="2" borderId="0" xfId="0" applyNumberFormat="1" applyFill="1"/>
    <xf numFmtId="10" fontId="0" fillId="0" borderId="0" xfId="0" applyNumberFormat="1" applyAlignment="1">
      <alignment horizontal="right"/>
    </xf>
    <xf numFmtId="0" fontId="0" fillId="0" borderId="0" xfId="0" applyFill="1" applyAlignment="1">
      <alignment horizontal="right"/>
    </xf>
    <xf numFmtId="164" fontId="0" fillId="3" borderId="0" xfId="0" applyNumberFormat="1" applyFill="1"/>
    <xf numFmtId="164" fontId="0" fillId="3" borderId="1" xfId="0" applyNumberFormat="1" applyFill="1" applyBorder="1"/>
    <xf numFmtId="0" fontId="0" fillId="3" borderId="0" xfId="0" applyFill="1"/>
    <xf numFmtId="10" fontId="0" fillId="3" borderId="0" xfId="0" applyNumberFormat="1" applyFill="1"/>
    <xf numFmtId="164" fontId="0" fillId="4" borderId="0" xfId="0" applyNumberFormat="1" applyFill="1"/>
    <xf numFmtId="0" fontId="0" fillId="4" borderId="0" xfId="0" applyFill="1"/>
    <xf numFmtId="164" fontId="0" fillId="4" borderId="0" xfId="0" applyNumberFormat="1" applyFill="1" applyBorder="1"/>
    <xf numFmtId="0" fontId="0" fillId="4" borderId="0" xfId="0" applyFill="1" applyBorder="1"/>
    <xf numFmtId="164" fontId="0" fillId="4" borderId="1" xfId="0" applyNumberFormat="1" applyFill="1" applyBorder="1"/>
    <xf numFmtId="10" fontId="0" fillId="4" borderId="0" xfId="0" applyNumberFormat="1" applyFill="1"/>
    <xf numFmtId="164" fontId="0" fillId="5" borderId="0" xfId="0" applyNumberFormat="1" applyFill="1"/>
    <xf numFmtId="0" fontId="0" fillId="5" borderId="0" xfId="0" applyFill="1"/>
    <xf numFmtId="164" fontId="0" fillId="5" borderId="0" xfId="0" applyNumberFormat="1" applyFill="1" applyBorder="1"/>
    <xf numFmtId="0" fontId="0" fillId="5" borderId="0" xfId="0" applyFill="1" applyBorder="1"/>
    <xf numFmtId="164" fontId="0" fillId="5" borderId="1" xfId="0" applyNumberFormat="1" applyFill="1" applyBorder="1"/>
    <xf numFmtId="10" fontId="0" fillId="5" borderId="0" xfId="0" applyNumberFormat="1" applyFill="1" applyBorder="1"/>
    <xf numFmtId="10" fontId="0" fillId="5" borderId="0" xfId="0" applyNumberFormat="1" applyFill="1"/>
    <xf numFmtId="0" fontId="0" fillId="0" borderId="2" xfId="0" applyBorder="1"/>
    <xf numFmtId="0" fontId="0" fillId="6" borderId="3" xfId="0" applyFill="1" applyBorder="1"/>
    <xf numFmtId="0" fontId="0" fillId="6" borderId="4" xfId="0" applyFill="1" applyBorder="1"/>
    <xf numFmtId="164" fontId="0" fillId="6" borderId="5" xfId="0" applyNumberFormat="1" applyFill="1" applyBorder="1"/>
    <xf numFmtId="9" fontId="0" fillId="6" borderId="5" xfId="0" applyNumberFormat="1" applyFill="1" applyBorder="1"/>
    <xf numFmtId="10" fontId="0" fillId="6" borderId="5" xfId="0" applyNumberFormat="1" applyFill="1" applyBorder="1"/>
    <xf numFmtId="0" fontId="0" fillId="6" borderId="5" xfId="0" applyFill="1" applyBorder="1"/>
    <xf numFmtId="0" fontId="0" fillId="6" borderId="6" xfId="0" applyFill="1" applyBorder="1"/>
    <xf numFmtId="9" fontId="0" fillId="6" borderId="7" xfId="0" applyNumberFormat="1" applyFill="1" applyBorder="1"/>
    <xf numFmtId="0" fontId="0" fillId="7" borderId="8" xfId="0" applyFill="1" applyBorder="1"/>
    <xf numFmtId="0" fontId="0" fillId="7" borderId="3" xfId="0" applyFill="1" applyBorder="1"/>
    <xf numFmtId="0" fontId="0" fillId="7" borderId="4" xfId="0" applyFill="1" applyBorder="1"/>
    <xf numFmtId="10" fontId="0" fillId="7" borderId="0" xfId="0" applyNumberFormat="1" applyFill="1" applyBorder="1"/>
    <xf numFmtId="0" fontId="0" fillId="7" borderId="0" xfId="0" applyFill="1" applyBorder="1"/>
    <xf numFmtId="0" fontId="0" fillId="7" borderId="5" xfId="0" applyFill="1" applyBorder="1"/>
    <xf numFmtId="0" fontId="0" fillId="7" borderId="6" xfId="0" applyFill="1" applyBorder="1"/>
    <xf numFmtId="0" fontId="0" fillId="7" borderId="0" xfId="0" quotePrefix="1" applyFill="1" applyBorder="1"/>
    <xf numFmtId="0" fontId="0" fillId="0" borderId="0" xfId="0" quotePrefix="1"/>
    <xf numFmtId="0" fontId="0" fillId="2" borderId="9" xfId="0" applyFill="1" applyBorder="1" applyAlignment="1">
      <alignment horizontal="right"/>
    </xf>
    <xf numFmtId="0" fontId="0" fillId="2" borderId="10" xfId="0" applyFill="1" applyBorder="1"/>
    <xf numFmtId="164" fontId="0" fillId="2" borderId="11" xfId="0" applyNumberFormat="1" applyFill="1" applyBorder="1"/>
    <xf numFmtId="0" fontId="0" fillId="8" borderId="13" xfId="0" applyFill="1" applyBorder="1"/>
    <xf numFmtId="0" fontId="0" fillId="8" borderId="0" xfId="0" applyFill="1" applyBorder="1"/>
    <xf numFmtId="164" fontId="0" fillId="8" borderId="0" xfId="0" applyNumberFormat="1" applyFill="1" applyBorder="1"/>
    <xf numFmtId="10" fontId="0" fillId="8" borderId="0" xfId="0" applyNumberFormat="1" applyFill="1" applyBorder="1"/>
    <xf numFmtId="164" fontId="0" fillId="8" borderId="13" xfId="0" applyNumberFormat="1" applyFill="1" applyBorder="1"/>
    <xf numFmtId="0" fontId="0" fillId="8" borderId="1" xfId="0" applyFill="1" applyBorder="1"/>
    <xf numFmtId="10" fontId="0" fillId="8" borderId="1" xfId="0" applyNumberFormat="1" applyFill="1" applyBorder="1"/>
    <xf numFmtId="10" fontId="0" fillId="8" borderId="13" xfId="0" applyNumberFormat="1" applyFill="1" applyBorder="1"/>
    <xf numFmtId="0" fontId="5" fillId="8" borderId="12" xfId="0" applyFont="1" applyFill="1" applyBorder="1"/>
    <xf numFmtId="0" fontId="0" fillId="8" borderId="8" xfId="0" applyFill="1" applyBorder="1"/>
    <xf numFmtId="0" fontId="0" fillId="8" borderId="3" xfId="0" applyFill="1" applyBorder="1"/>
    <xf numFmtId="0" fontId="0" fillId="8" borderId="14" xfId="0" applyFill="1" applyBorder="1"/>
    <xf numFmtId="164" fontId="0" fillId="8" borderId="15" xfId="0" applyNumberFormat="1" applyFill="1" applyBorder="1"/>
    <xf numFmtId="0" fontId="0" fillId="8" borderId="16" xfId="0" applyFill="1" applyBorder="1"/>
    <xf numFmtId="10" fontId="0" fillId="8" borderId="17" xfId="0" applyNumberFormat="1" applyFill="1" applyBorder="1"/>
    <xf numFmtId="0" fontId="0" fillId="8" borderId="4" xfId="0" applyFill="1" applyBorder="1"/>
    <xf numFmtId="164" fontId="0" fillId="8" borderId="5" xfId="0" applyNumberFormat="1" applyFill="1" applyBorder="1"/>
    <xf numFmtId="10" fontId="0" fillId="8" borderId="5" xfId="0" applyNumberFormat="1" applyFill="1" applyBorder="1"/>
    <xf numFmtId="10" fontId="0" fillId="8" borderId="15" xfId="0" applyNumberFormat="1" applyFill="1" applyBorder="1"/>
    <xf numFmtId="0" fontId="0" fillId="8" borderId="17" xfId="0" applyFill="1" applyBorder="1"/>
    <xf numFmtId="0" fontId="0" fillId="8" borderId="6" xfId="0" applyFill="1" applyBorder="1"/>
    <xf numFmtId="164" fontId="0" fillId="8" borderId="18" xfId="0" applyNumberFormat="1" applyFill="1" applyBorder="1"/>
    <xf numFmtId="164" fontId="0" fillId="8" borderId="7" xfId="0" quotePrefix="1" applyNumberFormat="1" applyFill="1" applyBorder="1"/>
    <xf numFmtId="10" fontId="0" fillId="0" borderId="0" xfId="0" applyNumberFormat="1" applyAlignment="1">
      <alignment horizontal="left"/>
    </xf>
    <xf numFmtId="0" fontId="4" fillId="8" borderId="4" xfId="0" applyFont="1" applyFill="1" applyBorder="1"/>
    <xf numFmtId="0" fontId="4" fillId="8" borderId="0" xfId="0" applyFont="1" applyFill="1" applyBorder="1"/>
    <xf numFmtId="0" fontId="4" fillId="0" borderId="0" xfId="0" applyFont="1"/>
    <xf numFmtId="1" fontId="4" fillId="8" borderId="0" xfId="0" applyNumberFormat="1" applyFont="1" applyFill="1" applyBorder="1"/>
    <xf numFmtId="167" fontId="0" fillId="8" borderId="5" xfId="0" applyNumberFormat="1" applyFill="1" applyBorder="1"/>
    <xf numFmtId="1" fontId="4" fillId="8" borderId="5" xfId="0" applyNumberFormat="1" applyFont="1" applyFill="1" applyBorder="1"/>
    <xf numFmtId="0" fontId="4" fillId="8" borderId="5" xfId="0" applyFont="1" applyFill="1" applyBorder="1"/>
    <xf numFmtId="2" fontId="0" fillId="8" borderId="1" xfId="0" applyNumberFormat="1" applyFill="1" applyBorder="1"/>
    <xf numFmtId="2" fontId="0" fillId="8" borderId="17" xfId="0" applyNumberFormat="1" applyFill="1" applyBorder="1"/>
    <xf numFmtId="0" fontId="6" fillId="6" borderId="12" xfId="0" applyFont="1" applyFill="1" applyBorder="1"/>
    <xf numFmtId="0" fontId="6" fillId="0" borderId="0" xfId="0" applyFont="1"/>
    <xf numFmtId="0" fontId="6" fillId="7" borderId="12" xfId="0" applyFont="1" applyFill="1" applyBorder="1"/>
    <xf numFmtId="0" fontId="0" fillId="7" borderId="0" xfId="0" quotePrefix="1" applyFill="1"/>
    <xf numFmtId="9" fontId="0" fillId="7" borderId="0" xfId="0" applyNumberFormat="1" applyFill="1" applyBorder="1"/>
    <xf numFmtId="164" fontId="0" fillId="7" borderId="6" xfId="0" applyNumberFormat="1" applyFill="1" applyBorder="1"/>
    <xf numFmtId="2" fontId="0" fillId="7" borderId="18" xfId="0" applyNumberFormat="1" applyFill="1" applyBorder="1"/>
    <xf numFmtId="164" fontId="0" fillId="7" borderId="18" xfId="0" applyNumberFormat="1" applyFill="1" applyBorder="1"/>
    <xf numFmtId="164" fontId="0" fillId="7" borderId="7" xfId="0" applyNumberFormat="1" applyFill="1" applyBorder="1"/>
    <xf numFmtId="164" fontId="0" fillId="7" borderId="0" xfId="0" applyNumberFormat="1" applyFill="1" applyBorder="1"/>
    <xf numFmtId="2" fontId="0" fillId="7" borderId="0" xfId="0" applyNumberFormat="1" applyFill="1" applyBorder="1"/>
    <xf numFmtId="164" fontId="0" fillId="7" borderId="4" xfId="0" applyNumberFormat="1" applyFill="1" applyBorder="1"/>
    <xf numFmtId="164" fontId="0" fillId="7" borderId="5" xfId="0" applyNumberFormat="1" applyFill="1" applyBorder="1"/>
    <xf numFmtId="169" fontId="0" fillId="0" borderId="0" xfId="0" applyNumberFormat="1"/>
    <xf numFmtId="170" fontId="0" fillId="0" borderId="0" xfId="0" applyNumberFormat="1" applyFill="1"/>
    <xf numFmtId="0" fontId="0" fillId="0" borderId="0" xfId="0" applyFill="1"/>
    <xf numFmtId="164" fontId="1" fillId="4" borderId="0" xfId="0" applyNumberFormat="1" applyFont="1" applyFill="1"/>
    <xf numFmtId="170" fontId="0" fillId="0" borderId="0" xfId="0" applyNumberFormat="1" applyFill="1" applyBorder="1"/>
    <xf numFmtId="164" fontId="1" fillId="5" borderId="0" xfId="0" applyNumberFormat="1" applyFont="1" applyFill="1"/>
    <xf numFmtId="10" fontId="0" fillId="7" borderId="0" xfId="0" applyNumberFormat="1" applyFill="1" applyBorder="1" applyAlignment="1">
      <alignment horizontal="center"/>
    </xf>
    <xf numFmtId="0" fontId="0" fillId="8" borderId="19" xfId="0" applyFill="1" applyBorder="1"/>
    <xf numFmtId="10" fontId="0" fillId="8" borderId="20" xfId="0" applyNumberFormat="1" applyFill="1" applyBorder="1"/>
    <xf numFmtId="0" fontId="0" fillId="8" borderId="21" xfId="0" applyFill="1" applyBorder="1"/>
    <xf numFmtId="164" fontId="0" fillId="3" borderId="0" xfId="0" applyNumberFormat="1" applyFill="1" applyBorder="1"/>
    <xf numFmtId="0" fontId="0" fillId="0" borderId="0" xfId="0" applyBorder="1"/>
    <xf numFmtId="165" fontId="4" fillId="8" borderId="0" xfId="0" applyNumberFormat="1" applyFont="1" applyFill="1" applyBorder="1"/>
    <xf numFmtId="2" fontId="0" fillId="8" borderId="0" xfId="0" applyNumberFormat="1" applyFill="1" applyBorder="1"/>
    <xf numFmtId="164" fontId="0" fillId="0" borderId="0" xfId="0" applyNumberFormat="1" applyFill="1" applyBorder="1"/>
    <xf numFmtId="164" fontId="0" fillId="9" borderId="0" xfId="0" applyNumberFormat="1" applyFill="1"/>
    <xf numFmtId="0" fontId="0" fillId="9" borderId="0" xfId="0" applyFill="1"/>
    <xf numFmtId="164" fontId="0" fillId="9" borderId="0" xfId="0" applyNumberFormat="1" applyFill="1" applyBorder="1"/>
    <xf numFmtId="0" fontId="0" fillId="9" borderId="0" xfId="0" applyFill="1" applyBorder="1"/>
    <xf numFmtId="164" fontId="0" fillId="9" borderId="1" xfId="0" applyNumberFormat="1" applyFill="1" applyBorder="1"/>
    <xf numFmtId="164" fontId="1" fillId="9" borderId="0" xfId="0" applyNumberFormat="1" applyFont="1" applyFill="1"/>
    <xf numFmtId="164" fontId="0" fillId="7" borderId="0" xfId="0" applyNumberFormat="1" applyFill="1"/>
    <xf numFmtId="164" fontId="0" fillId="8" borderId="1" xfId="0" applyNumberFormat="1" applyFill="1" applyBorder="1"/>
    <xf numFmtId="0" fontId="4" fillId="8" borderId="1" xfId="0" applyFont="1" applyFill="1" applyBorder="1"/>
    <xf numFmtId="2" fontId="4" fillId="8" borderId="5" xfId="0" applyNumberFormat="1" applyFont="1" applyFill="1" applyBorder="1"/>
    <xf numFmtId="0" fontId="4" fillId="8" borderId="17" xfId="0" applyFont="1" applyFill="1" applyBorder="1"/>
    <xf numFmtId="164" fontId="0" fillId="8" borderId="17" xfId="0" applyNumberFormat="1" applyFill="1" applyBorder="1"/>
    <xf numFmtId="2" fontId="0" fillId="8" borderId="5" xfId="0" applyNumberFormat="1" applyFill="1" applyBorder="1"/>
    <xf numFmtId="164" fontId="0" fillId="8" borderId="5" xfId="0" quotePrefix="1" applyNumberFormat="1" applyFill="1" applyBorder="1"/>
    <xf numFmtId="0" fontId="0" fillId="8" borderId="18" xfId="0" applyFill="1" applyBorder="1"/>
    <xf numFmtId="164" fontId="0" fillId="8" borderId="20" xfId="0" applyNumberFormat="1" applyFill="1" applyBorder="1"/>
    <xf numFmtId="0" fontId="0" fillId="8" borderId="5" xfId="0" applyFill="1" applyBorder="1"/>
    <xf numFmtId="171" fontId="0" fillId="8" borderId="0" xfId="0" applyNumberFormat="1" applyFill="1" applyBorder="1"/>
    <xf numFmtId="164" fontId="0" fillId="8" borderId="17" xfId="0" quotePrefix="1" applyNumberFormat="1" applyFill="1" applyBorder="1"/>
    <xf numFmtId="0" fontId="3" fillId="6" borderId="4" xfId="0" applyFont="1" applyFill="1" applyBorder="1"/>
    <xf numFmtId="0" fontId="0" fillId="7" borderId="7" xfId="0" applyFill="1" applyBorder="1"/>
    <xf numFmtId="0" fontId="0" fillId="6" borderId="16" xfId="0" applyFill="1" applyBorder="1"/>
    <xf numFmtId="10" fontId="0" fillId="6" borderId="17" xfId="0" applyNumberFormat="1" applyFill="1" applyBorder="1"/>
    <xf numFmtId="1" fontId="0" fillId="6" borderId="5" xfId="0" applyNumberFormat="1" applyFill="1" applyBorder="1"/>
    <xf numFmtId="9" fontId="0" fillId="6" borderId="17" xfId="0" applyNumberFormat="1" applyFill="1" applyBorder="1"/>
    <xf numFmtId="0" fontId="0" fillId="7" borderId="18" xfId="0" applyFill="1" applyBorder="1"/>
    <xf numFmtId="164" fontId="0" fillId="8" borderId="12" xfId="0" applyNumberFormat="1" applyFill="1" applyBorder="1"/>
    <xf numFmtId="164" fontId="0" fillId="8" borderId="8" xfId="0" applyNumberFormat="1" applyFill="1" applyBorder="1"/>
    <xf numFmtId="164" fontId="0" fillId="8" borderId="4" xfId="0" applyNumberFormat="1" applyFill="1" applyBorder="1"/>
    <xf numFmtId="164" fontId="0" fillId="8" borderId="6" xfId="0" applyNumberFormat="1" applyFill="1" applyBorder="1"/>
    <xf numFmtId="172" fontId="0" fillId="8" borderId="18" xfId="0" applyNumberFormat="1" applyFill="1" applyBorder="1"/>
    <xf numFmtId="0" fontId="0" fillId="8" borderId="7" xfId="0" applyFill="1" applyBorder="1"/>
    <xf numFmtId="0" fontId="0" fillId="7" borderId="22" xfId="0" applyFill="1" applyBorder="1"/>
    <xf numFmtId="10" fontId="0" fillId="7" borderId="13" xfId="0" applyNumberFormat="1" applyFill="1" applyBorder="1"/>
    <xf numFmtId="0" fontId="0" fillId="7" borderId="13" xfId="0" quotePrefix="1" applyFill="1" applyBorder="1"/>
    <xf numFmtId="0" fontId="0" fillId="7" borderId="13" xfId="0" applyFill="1" applyBorder="1"/>
    <xf numFmtId="0" fontId="0" fillId="7" borderId="15" xfId="0" applyFill="1" applyBorder="1"/>
    <xf numFmtId="0" fontId="0" fillId="0" borderId="13" xfId="0" applyBorder="1"/>
    <xf numFmtId="0" fontId="0" fillId="0" borderId="23" xfId="0" applyBorder="1"/>
    <xf numFmtId="0" fontId="0" fillId="7" borderId="24" xfId="0" applyFill="1" applyBorder="1"/>
    <xf numFmtId="10" fontId="0" fillId="7" borderId="1" xfId="0" applyNumberFormat="1" applyFill="1" applyBorder="1"/>
    <xf numFmtId="0" fontId="0" fillId="7" borderId="1" xfId="0" quotePrefix="1" applyFill="1" applyBorder="1"/>
    <xf numFmtId="0" fontId="0" fillId="7" borderId="1" xfId="0" applyFill="1" applyBorder="1"/>
    <xf numFmtId="0" fontId="0" fillId="7" borderId="17" xfId="0" applyFill="1" applyBorder="1"/>
    <xf numFmtId="0" fontId="0" fillId="0" borderId="1" xfId="0" applyBorder="1"/>
    <xf numFmtId="0" fontId="0" fillId="0" borderId="25" xfId="0" applyBorder="1"/>
    <xf numFmtId="165" fontId="0" fillId="8" borderId="0" xfId="0" applyNumberFormat="1" applyFill="1" applyBorder="1"/>
    <xf numFmtId="165" fontId="0" fillId="8" borderId="1" xfId="0" applyNumberFormat="1" applyFill="1" applyBorder="1"/>
    <xf numFmtId="9" fontId="0" fillId="0" borderId="0" xfId="0" applyNumberFormat="1"/>
    <xf numFmtId="0" fontId="0" fillId="2" borderId="22" xfId="0" applyFill="1" applyBorder="1"/>
    <xf numFmtId="0" fontId="0" fillId="2" borderId="13" xfId="0" applyFill="1" applyBorder="1"/>
    <xf numFmtId="0" fontId="0" fillId="2" borderId="23" xfId="0" applyFill="1" applyBorder="1"/>
    <xf numFmtId="0" fontId="0" fillId="2" borderId="26" xfId="0" applyFill="1" applyBorder="1"/>
    <xf numFmtId="10" fontId="0" fillId="2" borderId="0" xfId="0" applyNumberFormat="1" applyFill="1" applyBorder="1"/>
    <xf numFmtId="10" fontId="0" fillId="2" borderId="27" xfId="0" applyNumberFormat="1" applyFill="1" applyBorder="1"/>
    <xf numFmtId="0" fontId="0" fillId="2" borderId="24" xfId="0" applyFill="1" applyBorder="1"/>
    <xf numFmtId="10" fontId="3" fillId="4" borderId="28" xfId="0" applyNumberFormat="1" applyFont="1" applyFill="1" applyBorder="1" applyAlignment="1">
      <alignment horizontal="right"/>
    </xf>
    <xf numFmtId="10" fontId="0" fillId="4" borderId="20" xfId="0" applyNumberFormat="1" applyFill="1" applyBorder="1"/>
    <xf numFmtId="10" fontId="0" fillId="4" borderId="29" xfId="0" applyNumberFormat="1" applyFill="1" applyBorder="1"/>
    <xf numFmtId="0" fontId="3" fillId="4" borderId="28" xfId="0" applyFont="1" applyFill="1" applyBorder="1" applyAlignment="1">
      <alignment horizontal="right"/>
    </xf>
    <xf numFmtId="168" fontId="0" fillId="0" borderId="0" xfId="0" applyNumberFormat="1"/>
    <xf numFmtId="10" fontId="0" fillId="7" borderId="5" xfId="0" applyNumberFormat="1" applyFill="1" applyBorder="1" applyAlignment="1">
      <alignment horizontal="left"/>
    </xf>
    <xf numFmtId="3" fontId="0" fillId="6" borderId="5" xfId="0" applyNumberFormat="1" applyFill="1" applyBorder="1"/>
    <xf numFmtId="3" fontId="0" fillId="6" borderId="17" xfId="0" applyNumberFormat="1" applyFill="1" applyBorder="1"/>
    <xf numFmtId="0" fontId="0" fillId="7" borderId="0" xfId="0" applyFill="1"/>
    <xf numFmtId="0" fontId="0" fillId="8" borderId="0" xfId="0" applyFill="1"/>
    <xf numFmtId="165" fontId="0" fillId="8" borderId="0" xfId="0" applyNumberFormat="1" applyFill="1"/>
    <xf numFmtId="0" fontId="0" fillId="7" borderId="16" xfId="0" applyFill="1" applyBorder="1"/>
    <xf numFmtId="165" fontId="1" fillId="7" borderId="0" xfId="0" applyNumberFormat="1" applyFont="1" applyFill="1" applyBorder="1"/>
    <xf numFmtId="0" fontId="7" fillId="7" borderId="0" xfId="0" applyFont="1" applyFill="1" applyBorder="1"/>
    <xf numFmtId="165" fontId="1" fillId="7" borderId="1" xfId="0" applyNumberFormat="1" applyFont="1" applyFill="1" applyBorder="1"/>
    <xf numFmtId="0" fontId="7" fillId="7" borderId="1" xfId="0" applyFont="1" applyFill="1" applyBorder="1"/>
    <xf numFmtId="173" fontId="0" fillId="7" borderId="18" xfId="0" applyNumberFormat="1" applyFill="1" applyBorder="1"/>
    <xf numFmtId="0" fontId="6" fillId="7" borderId="8" xfId="0" applyFont="1" applyFill="1" applyBorder="1" applyAlignment="1">
      <alignment horizontal="right"/>
    </xf>
    <xf numFmtId="10" fontId="1" fillId="7" borderId="0" xfId="0" applyNumberFormat="1" applyFont="1" applyFill="1" applyBorder="1"/>
    <xf numFmtId="9" fontId="1" fillId="7" borderId="0" xfId="0" applyNumberFormat="1" applyFont="1" applyFill="1" applyBorder="1"/>
    <xf numFmtId="2" fontId="1" fillId="7" borderId="0" xfId="0" applyNumberFormat="1" applyFont="1" applyFill="1" applyBorder="1"/>
    <xf numFmtId="0" fontId="7" fillId="7" borderId="5" xfId="0" applyFont="1" applyFill="1" applyBorder="1"/>
    <xf numFmtId="173" fontId="1" fillId="7" borderId="18" xfId="0" applyNumberFormat="1" applyFont="1" applyFill="1" applyBorder="1"/>
    <xf numFmtId="0" fontId="7" fillId="7" borderId="17" xfId="0" applyFont="1" applyFill="1" applyBorder="1"/>
    <xf numFmtId="10" fontId="1" fillId="7" borderId="1" xfId="0" applyNumberFormat="1" applyFont="1" applyFill="1" applyBorder="1"/>
    <xf numFmtId="164" fontId="0" fillId="7" borderId="1" xfId="0" applyNumberFormat="1" applyFill="1" applyBorder="1"/>
    <xf numFmtId="10" fontId="0" fillId="7" borderId="1" xfId="0" applyNumberFormat="1" applyFill="1" applyBorder="1" applyAlignment="1">
      <alignment horizontal="center"/>
    </xf>
    <xf numFmtId="0" fontId="0" fillId="7" borderId="27" xfId="0" applyFill="1" applyBorder="1"/>
    <xf numFmtId="171" fontId="0" fillId="7" borderId="0" xfId="0" applyNumberFormat="1" applyFill="1" applyBorder="1"/>
    <xf numFmtId="164" fontId="4" fillId="7" borderId="0" xfId="0" applyNumberFormat="1" applyFont="1" applyFill="1" applyBorder="1"/>
    <xf numFmtId="164" fontId="4" fillId="10" borderId="0" xfId="0" applyNumberFormat="1" applyFont="1" applyFill="1" applyBorder="1"/>
    <xf numFmtId="4" fontId="0" fillId="10" borderId="0" xfId="0" applyNumberFormat="1" applyFill="1" applyBorder="1"/>
    <xf numFmtId="164" fontId="0" fillId="10" borderId="0" xfId="0" applyNumberFormat="1" applyFill="1" applyBorder="1"/>
    <xf numFmtId="164" fontId="4" fillId="10" borderId="6" xfId="0" applyNumberFormat="1" applyFont="1" applyFill="1" applyBorder="1"/>
    <xf numFmtId="4" fontId="0" fillId="10" borderId="18" xfId="0" applyNumberFormat="1" applyFill="1" applyBorder="1"/>
    <xf numFmtId="164" fontId="0" fillId="10" borderId="18" xfId="0" applyNumberFormat="1" applyFill="1" applyBorder="1"/>
    <xf numFmtId="164" fontId="0" fillId="10" borderId="7" xfId="0" applyNumberFormat="1" applyFill="1" applyBorder="1"/>
    <xf numFmtId="164" fontId="4" fillId="10" borderId="18" xfId="0" applyNumberFormat="1" applyFont="1" applyFill="1" applyBorder="1"/>
    <xf numFmtId="0" fontId="0" fillId="11" borderId="12" xfId="0" applyFill="1" applyBorder="1"/>
    <xf numFmtId="0" fontId="0" fillId="11" borderId="3" xfId="0" applyFill="1" applyBorder="1" applyAlignment="1">
      <alignment horizontal="center"/>
    </xf>
    <xf numFmtId="0" fontId="0" fillId="11" borderId="4" xfId="0" applyFill="1" applyBorder="1"/>
    <xf numFmtId="10" fontId="0" fillId="11" borderId="5" xfId="0" applyNumberFormat="1" applyFill="1" applyBorder="1"/>
    <xf numFmtId="3" fontId="0" fillId="11" borderId="5" xfId="0" applyNumberFormat="1" applyFill="1" applyBorder="1"/>
    <xf numFmtId="0" fontId="0" fillId="11" borderId="7" xfId="0" applyFill="1" applyBorder="1"/>
    <xf numFmtId="0" fontId="4" fillId="11" borderId="6" xfId="0" applyFont="1" applyFill="1" applyBorder="1"/>
    <xf numFmtId="0" fontId="4" fillId="0" borderId="1" xfId="0" applyFont="1" applyBorder="1" applyAlignment="1">
      <alignment horizontal="right"/>
    </xf>
    <xf numFmtId="0" fontId="4" fillId="0" borderId="0" xfId="0" applyFont="1" applyAlignment="1">
      <alignment horizontal="right"/>
    </xf>
    <xf numFmtId="0" fontId="6" fillId="10" borderId="12" xfId="0" applyFont="1" applyFill="1" applyBorder="1"/>
    <xf numFmtId="0" fontId="0" fillId="10" borderId="8" xfId="0" applyFill="1" applyBorder="1"/>
    <xf numFmtId="0" fontId="0" fillId="10" borderId="3" xfId="0" applyFill="1" applyBorder="1"/>
    <xf numFmtId="0" fontId="0" fillId="10" borderId="4" xfId="0" applyFill="1" applyBorder="1"/>
    <xf numFmtId="10" fontId="0" fillId="10" borderId="0" xfId="0" applyNumberFormat="1" applyFill="1" applyBorder="1"/>
    <xf numFmtId="0" fontId="0" fillId="10" borderId="0" xfId="0" quotePrefix="1" applyFill="1" applyBorder="1"/>
    <xf numFmtId="0" fontId="0" fillId="10" borderId="0" xfId="0" applyFill="1" applyBorder="1"/>
    <xf numFmtId="0" fontId="0" fillId="10" borderId="5" xfId="0" applyFill="1" applyBorder="1"/>
    <xf numFmtId="0" fontId="0" fillId="10" borderId="16" xfId="0" applyFill="1" applyBorder="1"/>
    <xf numFmtId="10" fontId="0" fillId="10" borderId="1" xfId="0" applyNumberFormat="1" applyFill="1" applyBorder="1"/>
    <xf numFmtId="0" fontId="0" fillId="10" borderId="1" xfId="0" quotePrefix="1" applyFill="1" applyBorder="1"/>
    <xf numFmtId="0" fontId="0" fillId="10" borderId="1" xfId="0" applyFill="1" applyBorder="1"/>
    <xf numFmtId="0" fontId="0" fillId="10" borderId="17" xfId="0" applyFill="1" applyBorder="1"/>
    <xf numFmtId="10" fontId="0" fillId="10" borderId="0" xfId="0" applyNumberFormat="1" applyFill="1" applyBorder="1" applyAlignment="1">
      <alignment horizontal="center"/>
    </xf>
    <xf numFmtId="9" fontId="0" fillId="10" borderId="0" xfId="0" applyNumberFormat="1" applyFill="1" applyBorder="1"/>
    <xf numFmtId="164" fontId="0" fillId="10" borderId="5" xfId="0" applyNumberFormat="1" applyFill="1" applyBorder="1"/>
    <xf numFmtId="164" fontId="0" fillId="10" borderId="4" xfId="0" applyNumberFormat="1" applyFill="1" applyBorder="1"/>
    <xf numFmtId="0" fontId="0" fillId="10" borderId="18" xfId="0" applyFill="1" applyBorder="1"/>
    <xf numFmtId="0" fontId="0" fillId="10" borderId="7" xfId="0" applyFill="1" applyBorder="1"/>
    <xf numFmtId="166" fontId="0" fillId="10" borderId="0" xfId="0" applyNumberFormat="1" applyFill="1" applyBorder="1"/>
    <xf numFmtId="0" fontId="4" fillId="10" borderId="4" xfId="0" applyFont="1" applyFill="1" applyBorder="1"/>
    <xf numFmtId="165" fontId="0" fillId="10" borderId="0" xfId="0" applyNumberFormat="1" applyFill="1" applyBorder="1"/>
    <xf numFmtId="0" fontId="4" fillId="10" borderId="6" xfId="0" applyFont="1" applyFill="1" applyBorder="1"/>
    <xf numFmtId="170" fontId="0" fillId="10" borderId="0" xfId="0" applyNumberFormat="1" applyFill="1" applyBorder="1"/>
    <xf numFmtId="170" fontId="0" fillId="10" borderId="18" xfId="0" applyNumberFormat="1" applyFill="1" applyBorder="1"/>
    <xf numFmtId="10" fontId="0" fillId="6" borderId="7" xfId="0" applyNumberFormat="1" applyFill="1" applyBorder="1"/>
    <xf numFmtId="164" fontId="0" fillId="10" borderId="16" xfId="0" applyNumberFormat="1" applyFill="1" applyBorder="1"/>
    <xf numFmtId="2" fontId="0" fillId="10" borderId="1" xfId="0" applyNumberFormat="1" applyFill="1" applyBorder="1"/>
    <xf numFmtId="164" fontId="0" fillId="10" borderId="1" xfId="0" applyNumberFormat="1" applyFill="1" applyBorder="1"/>
    <xf numFmtId="10" fontId="0" fillId="10" borderId="1" xfId="0" applyNumberFormat="1" applyFill="1" applyBorder="1" applyAlignment="1">
      <alignment horizontal="center"/>
    </xf>
    <xf numFmtId="164" fontId="0" fillId="10" borderId="17" xfId="0" applyNumberFormat="1" applyFill="1" applyBorder="1"/>
    <xf numFmtId="164" fontId="4" fillId="10" borderId="16" xfId="0" applyNumberFormat="1" applyFont="1" applyFill="1" applyBorder="1"/>
    <xf numFmtId="4" fontId="0" fillId="10" borderId="1" xfId="0" applyNumberFormat="1" applyFill="1" applyBorder="1"/>
    <xf numFmtId="164" fontId="4" fillId="10" borderId="1" xfId="0" applyNumberFormat="1" applyFont="1" applyFill="1" applyBorder="1"/>
    <xf numFmtId="0" fontId="1" fillId="0" borderId="0" xfId="0" applyFont="1"/>
  </cellXfs>
  <cellStyles count="1">
    <cellStyle name="Normal" xfId="0" builtinId="0"/>
  </cellStyles>
  <dxfs count="0"/>
  <tableStyles count="0" defaultTableStyle="TableStyleMedium9" defaultPivotStyle="PivotStyleLight16"/>
  <colors>
    <mruColors>
      <color rgb="FF99CCFF"/>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tabSelected="1" workbookViewId="0"/>
  </sheetViews>
  <sheetFormatPr defaultRowHeight="13.2" x14ac:dyDescent="0.25"/>
  <cols>
    <col min="1" max="1" width="12" customWidth="1"/>
  </cols>
  <sheetData>
    <row r="1" spans="1:1" x14ac:dyDescent="0.25">
      <c r="A1" s="93" t="s">
        <v>415</v>
      </c>
    </row>
    <row r="2" spans="1:1" x14ac:dyDescent="0.25">
      <c r="A2" t="s">
        <v>316</v>
      </c>
    </row>
    <row r="3" spans="1:1" x14ac:dyDescent="0.25">
      <c r="A3" t="s">
        <v>359</v>
      </c>
    </row>
    <row r="4" spans="1:1" x14ac:dyDescent="0.25">
      <c r="A4" t="s">
        <v>322</v>
      </c>
    </row>
    <row r="5" spans="1:1" x14ac:dyDescent="0.25">
      <c r="A5" t="s">
        <v>337</v>
      </c>
    </row>
    <row r="6" spans="1:1" x14ac:dyDescent="0.25">
      <c r="A6" t="s">
        <v>339</v>
      </c>
    </row>
    <row r="7" spans="1:1" x14ac:dyDescent="0.25">
      <c r="A7" t="s">
        <v>340</v>
      </c>
    </row>
    <row r="8" spans="1:1" x14ac:dyDescent="0.25">
      <c r="A8" t="s">
        <v>328</v>
      </c>
    </row>
    <row r="9" spans="1:1" x14ac:dyDescent="0.25">
      <c r="A9" t="s">
        <v>317</v>
      </c>
    </row>
    <row r="10" spans="1:1" x14ac:dyDescent="0.25">
      <c r="A10" t="s">
        <v>320</v>
      </c>
    </row>
    <row r="11" spans="1:1" x14ac:dyDescent="0.25">
      <c r="A11" t="s">
        <v>318</v>
      </c>
    </row>
    <row r="12" spans="1:1" x14ac:dyDescent="0.25">
      <c r="A12" t="s">
        <v>321</v>
      </c>
    </row>
    <row r="13" spans="1:1" x14ac:dyDescent="0.25">
      <c r="A13" t="s">
        <v>323</v>
      </c>
    </row>
    <row r="14" spans="1:1" x14ac:dyDescent="0.25">
      <c r="A14" t="s">
        <v>324</v>
      </c>
    </row>
    <row r="15" spans="1:1" x14ac:dyDescent="0.25">
      <c r="A15" t="s">
        <v>325</v>
      </c>
    </row>
    <row r="16" spans="1:1" x14ac:dyDescent="0.25">
      <c r="A16" t="s">
        <v>326</v>
      </c>
    </row>
    <row r="17" spans="1:6" x14ac:dyDescent="0.25">
      <c r="A17" t="s">
        <v>357</v>
      </c>
    </row>
    <row r="18" spans="1:6" x14ac:dyDescent="0.25">
      <c r="A18" t="s">
        <v>336</v>
      </c>
    </row>
    <row r="19" spans="1:6" x14ac:dyDescent="0.25">
      <c r="A19" t="s">
        <v>360</v>
      </c>
    </row>
    <row r="21" spans="1:6" x14ac:dyDescent="0.25">
      <c r="A21" s="169" t="s">
        <v>347</v>
      </c>
      <c r="B21" s="170"/>
      <c r="C21" s="170"/>
      <c r="D21" s="170"/>
      <c r="E21" s="170"/>
      <c r="F21" s="171"/>
    </row>
    <row r="22" spans="1:6" x14ac:dyDescent="0.25">
      <c r="A22" s="172" t="s">
        <v>345</v>
      </c>
      <c r="B22" s="173">
        <f>'(3) Growth REIT'!E164</f>
        <v>0.50909090909090904</v>
      </c>
      <c r="C22" s="173" t="s">
        <v>344</v>
      </c>
      <c r="D22" s="173">
        <f>'(3) Growth REIT'!B15-1</f>
        <v>0.10000000000000009</v>
      </c>
      <c r="E22" s="173" t="s">
        <v>343</v>
      </c>
      <c r="F22" s="174">
        <f>'(3) Growth REIT'!H26-1</f>
        <v>0.20370370370370372</v>
      </c>
    </row>
    <row r="23" spans="1:6" x14ac:dyDescent="0.25">
      <c r="A23" s="172"/>
      <c r="B23" s="176" t="s">
        <v>348</v>
      </c>
      <c r="C23" s="177" t="s">
        <v>343</v>
      </c>
      <c r="D23" s="177">
        <f>(1+D22-B22)/(1-B22)-1</f>
        <v>0.20370370370370394</v>
      </c>
      <c r="E23" s="177" t="s">
        <v>344</v>
      </c>
      <c r="F23" s="178">
        <f>(1+F22)*(1-B22)+B22-1</f>
        <v>0.10000000000000009</v>
      </c>
    </row>
    <row r="24" spans="1:6" x14ac:dyDescent="0.25">
      <c r="A24" s="172" t="s">
        <v>346</v>
      </c>
      <c r="B24" s="173">
        <f>'(3) Growth REIT'!E165</f>
        <v>0.46280991735537191</v>
      </c>
      <c r="C24" s="173" t="s">
        <v>344</v>
      </c>
      <c r="D24" s="173">
        <f>'(3) Growth REIT'!B15-1</f>
        <v>0.10000000000000009</v>
      </c>
      <c r="E24" s="173" t="s">
        <v>343</v>
      </c>
      <c r="F24" s="174">
        <f>'(3) Growth REIT'!H26-1</f>
        <v>0.20370370370370372</v>
      </c>
    </row>
    <row r="25" spans="1:6" x14ac:dyDescent="0.25">
      <c r="A25" s="175"/>
      <c r="B25" s="179" t="s">
        <v>348</v>
      </c>
      <c r="C25" s="177" t="s">
        <v>343</v>
      </c>
      <c r="D25" s="177">
        <f>(1-B24)/(1/(1+D24)-B24)-1</f>
        <v>0.20370370370370372</v>
      </c>
      <c r="E25" s="177" t="s">
        <v>344</v>
      </c>
      <c r="F25" s="178">
        <f>(1+F24)/(1+F24*B24)-1</f>
        <v>0.10000000000000009</v>
      </c>
    </row>
  </sheetData>
  <phoneticPr fontId="2"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workbookViewId="0"/>
  </sheetViews>
  <sheetFormatPr defaultRowHeight="13.2" x14ac:dyDescent="0.25"/>
  <cols>
    <col min="1" max="1" width="56.44140625" customWidth="1"/>
  </cols>
  <sheetData>
    <row r="1" spans="1:9" x14ac:dyDescent="0.25">
      <c r="A1" s="92" t="s">
        <v>108</v>
      </c>
      <c r="B1" s="39"/>
    </row>
    <row r="2" spans="1:9" x14ac:dyDescent="0.25">
      <c r="A2" s="139" t="s">
        <v>264</v>
      </c>
      <c r="B2" s="44"/>
    </row>
    <row r="3" spans="1:9" x14ac:dyDescent="0.25">
      <c r="A3" s="40" t="s">
        <v>61</v>
      </c>
      <c r="B3" s="41">
        <v>100</v>
      </c>
    </row>
    <row r="4" spans="1:9" x14ac:dyDescent="0.25">
      <c r="A4" s="40" t="s">
        <v>62</v>
      </c>
      <c r="B4" s="42">
        <v>0.15</v>
      </c>
    </row>
    <row r="5" spans="1:9" x14ac:dyDescent="0.25">
      <c r="A5" s="40" t="s">
        <v>64</v>
      </c>
      <c r="B5" s="43">
        <v>0.02</v>
      </c>
    </row>
    <row r="6" spans="1:9" x14ac:dyDescent="0.25">
      <c r="A6" s="40" t="s">
        <v>102</v>
      </c>
      <c r="B6" s="43">
        <v>0.08</v>
      </c>
    </row>
    <row r="7" spans="1:9" x14ac:dyDescent="0.25">
      <c r="A7" s="40" t="s">
        <v>63</v>
      </c>
      <c r="B7" s="43">
        <v>6.5000000000000002E-2</v>
      </c>
    </row>
    <row r="8" spans="1:9" x14ac:dyDescent="0.25">
      <c r="A8" s="40" t="s">
        <v>134</v>
      </c>
      <c r="B8" s="143">
        <v>10</v>
      </c>
    </row>
    <row r="9" spans="1:9" x14ac:dyDescent="0.25">
      <c r="A9" s="141" t="s">
        <v>378</v>
      </c>
      <c r="B9" s="144">
        <v>0.1</v>
      </c>
      <c r="C9" s="55" t="s">
        <v>381</v>
      </c>
    </row>
    <row r="10" spans="1:9" x14ac:dyDescent="0.25">
      <c r="A10" s="139" t="s">
        <v>265</v>
      </c>
      <c r="B10" s="44"/>
    </row>
    <row r="11" spans="1:9" x14ac:dyDescent="0.25">
      <c r="A11" s="40" t="s">
        <v>266</v>
      </c>
      <c r="B11" s="44">
        <v>2.5</v>
      </c>
      <c r="C11" t="s">
        <v>267</v>
      </c>
    </row>
    <row r="12" spans="1:9" x14ac:dyDescent="0.25">
      <c r="A12" s="40" t="s">
        <v>375</v>
      </c>
      <c r="B12" s="42">
        <f>0.2</f>
        <v>0.2</v>
      </c>
      <c r="C12" t="s">
        <v>338</v>
      </c>
    </row>
    <row r="13" spans="1:9" ht="13.8" thickBot="1" x14ac:dyDescent="0.3">
      <c r="A13" s="45" t="s">
        <v>371</v>
      </c>
      <c r="B13" s="46">
        <f>0.2</f>
        <v>0.2</v>
      </c>
    </row>
    <row r="14" spans="1:9" x14ac:dyDescent="0.25">
      <c r="A14" s="94" t="s">
        <v>109</v>
      </c>
      <c r="B14" s="193" t="s">
        <v>372</v>
      </c>
      <c r="C14" s="193" t="s">
        <v>373</v>
      </c>
      <c r="D14" s="193" t="s">
        <v>374</v>
      </c>
      <c r="E14" s="47"/>
      <c r="F14" s="47"/>
      <c r="G14" s="47"/>
      <c r="H14" s="47"/>
      <c r="I14" s="48"/>
    </row>
    <row r="15" spans="1:9" x14ac:dyDescent="0.25">
      <c r="A15" s="49" t="s">
        <v>380</v>
      </c>
      <c r="B15" s="126">
        <v>0</v>
      </c>
      <c r="C15" s="126">
        <f>'(3) Growth REIT'!C151</f>
        <v>22.913310797570077</v>
      </c>
      <c r="D15" s="126">
        <f>'(4) Shrinking REIT'!C151</f>
        <v>20.47727272727272</v>
      </c>
      <c r="E15" s="184"/>
      <c r="F15" s="184"/>
      <c r="G15" s="184"/>
      <c r="H15" s="184"/>
      <c r="I15" s="203"/>
    </row>
    <row r="16" spans="1:9" x14ac:dyDescent="0.25">
      <c r="A16" s="49" t="s">
        <v>352</v>
      </c>
      <c r="B16" s="188">
        <f>'(2) External Equity'!D120</f>
        <v>14.1025641025641</v>
      </c>
      <c r="C16" s="188">
        <f>'(3) Growth REIT'!D162</f>
        <v>18.759018759018758</v>
      </c>
      <c r="D16" s="188">
        <f>'(4) Shrinking REIT'!D162</f>
        <v>11.324786324786327</v>
      </c>
      <c r="E16" s="189"/>
      <c r="F16" s="189"/>
      <c r="G16" s="189"/>
      <c r="H16" s="189"/>
      <c r="I16" s="197"/>
    </row>
    <row r="17" spans="1:9" x14ac:dyDescent="0.25">
      <c r="A17" s="187" t="s">
        <v>353</v>
      </c>
      <c r="B17" s="190">
        <f>'(2) External Equity'!D121</f>
        <v>17.628205128205128</v>
      </c>
      <c r="C17" s="190">
        <f>'(3) Growth REIT'!D163</f>
        <v>23.448773448773444</v>
      </c>
      <c r="D17" s="190">
        <f>'(4) Shrinking REIT'!D163</f>
        <v>8.8926174496644173</v>
      </c>
      <c r="E17" s="191"/>
      <c r="F17" s="162" t="s">
        <v>379</v>
      </c>
      <c r="G17" s="191"/>
      <c r="H17" s="191"/>
      <c r="I17" s="199"/>
    </row>
    <row r="18" spans="1:9" x14ac:dyDescent="0.25">
      <c r="A18" s="49" t="s">
        <v>183</v>
      </c>
      <c r="B18" s="50">
        <f>'(2) External Equity'!G8</f>
        <v>6.8000000000000005E-2</v>
      </c>
      <c r="C18" s="194">
        <f>'(3) Growth REIT'!H8</f>
        <v>5.9500000000000004E-2</v>
      </c>
      <c r="D18" s="194">
        <f>'(4) Shrinking REIT'!H8</f>
        <v>6.8000000000000005E-2</v>
      </c>
      <c r="E18" s="54" t="s">
        <v>185</v>
      </c>
      <c r="F18" s="51"/>
      <c r="G18" s="51"/>
      <c r="H18" s="51"/>
      <c r="I18" s="52"/>
    </row>
    <row r="19" spans="1:9" x14ac:dyDescent="0.25">
      <c r="A19" s="187" t="s">
        <v>182</v>
      </c>
      <c r="B19" s="160">
        <f>'(2) External Equity'!G8</f>
        <v>6.8000000000000005E-2</v>
      </c>
      <c r="C19" s="200">
        <f>'(3) Growth REIT'!H9</f>
        <v>5.4090909090909092E-2</v>
      </c>
      <c r="D19" s="200">
        <f>'(4) Shrinking REIT'!H9</f>
        <v>7.5555555555555556E-2</v>
      </c>
      <c r="E19" s="161" t="s">
        <v>184</v>
      </c>
      <c r="F19" s="162" t="s">
        <v>186</v>
      </c>
      <c r="G19" s="162"/>
      <c r="H19" s="162"/>
      <c r="I19" s="163"/>
    </row>
    <row r="20" spans="1:9" x14ac:dyDescent="0.25">
      <c r="A20" s="49" t="s">
        <v>207</v>
      </c>
      <c r="B20" s="50">
        <f>'(2) External Equity'!G9</f>
        <v>7.0909090909090908E-2</v>
      </c>
      <c r="C20" s="194">
        <f>'(3) Growth REIT'!H10</f>
        <v>5.3307692307692313E-2</v>
      </c>
      <c r="D20" s="194">
        <f>'(4) Shrinking REIT'!H10</f>
        <v>8.8301886792452822E-2</v>
      </c>
      <c r="E20" s="54" t="s">
        <v>187</v>
      </c>
      <c r="F20" s="51" t="s">
        <v>296</v>
      </c>
      <c r="G20" s="51"/>
      <c r="H20" s="51"/>
      <c r="I20" s="52"/>
    </row>
    <row r="21" spans="1:9" x14ac:dyDescent="0.25">
      <c r="A21" s="49" t="s">
        <v>101</v>
      </c>
      <c r="B21" s="50">
        <f>'(2) External Equity'!G10</f>
        <v>5.6727272727272723E-2</v>
      </c>
      <c r="C21" s="194">
        <f>'(3) Growth REIT'!H11</f>
        <v>4.2646153846153848E-2</v>
      </c>
      <c r="D21" s="194">
        <f>'(4) Shrinking REIT'!H11</f>
        <v>0.1124528301886794</v>
      </c>
      <c r="E21" s="54" t="s">
        <v>205</v>
      </c>
      <c r="F21" s="51" t="s">
        <v>103</v>
      </c>
      <c r="G21" s="51"/>
      <c r="H21" s="51"/>
      <c r="I21" s="52"/>
    </row>
    <row r="22" spans="1:9" x14ac:dyDescent="0.25">
      <c r="A22" s="187" t="s">
        <v>206</v>
      </c>
      <c r="B22" s="160">
        <f>'(2) External Equity'!G9</f>
        <v>7.0909090909090908E-2</v>
      </c>
      <c r="C22" s="200">
        <f>'(3) Growth REIT'!H12</f>
        <v>6.4166666666666677E-2</v>
      </c>
      <c r="D22" s="200">
        <f>'(4) Shrinking REIT'!H12</f>
        <v>7.0909090909090908E-2</v>
      </c>
      <c r="E22" s="161" t="s">
        <v>208</v>
      </c>
      <c r="F22" s="162" t="s">
        <v>250</v>
      </c>
      <c r="G22" s="162"/>
      <c r="H22" s="162"/>
      <c r="I22" s="163"/>
    </row>
    <row r="23" spans="1:9" x14ac:dyDescent="0.25">
      <c r="A23" s="49" t="s">
        <v>188</v>
      </c>
      <c r="B23" s="50">
        <f>'(2) External Equity'!G11</f>
        <v>8.7999999999999856E-2</v>
      </c>
      <c r="C23" s="194">
        <f>'(3) Growth REIT'!H13</f>
        <v>7.9499999999982585E-2</v>
      </c>
      <c r="D23" s="194">
        <f>'(4) Shrinking REIT'!H13</f>
        <v>8.7999999999999856E-2</v>
      </c>
      <c r="E23" s="54" t="s">
        <v>189</v>
      </c>
      <c r="F23" s="51"/>
      <c r="G23" s="51"/>
      <c r="H23" s="51"/>
      <c r="I23" s="52"/>
    </row>
    <row r="24" spans="1:9" x14ac:dyDescent="0.25">
      <c r="A24" s="187" t="s">
        <v>223</v>
      </c>
      <c r="B24" s="160">
        <f>'(2) External Equity'!G11</f>
        <v>8.7999999999999856E-2</v>
      </c>
      <c r="C24" s="200">
        <f>'(3) Growth REIT'!H14</f>
        <v>7.4090909090796631E-2</v>
      </c>
      <c r="D24" s="200">
        <f>'(4) Shrinking REIT'!H14</f>
        <v>9.5555555557578664E-2</v>
      </c>
      <c r="E24" s="161" t="s">
        <v>310</v>
      </c>
      <c r="F24" s="162" t="s">
        <v>186</v>
      </c>
      <c r="G24" s="162"/>
      <c r="H24" s="162"/>
      <c r="I24" s="163"/>
    </row>
    <row r="25" spans="1:9" x14ac:dyDescent="0.25">
      <c r="A25" s="49" t="s">
        <v>181</v>
      </c>
      <c r="B25" s="50">
        <f>'(2) External Equity'!G12</f>
        <v>0.11030303030303013</v>
      </c>
      <c r="C25" s="194">
        <f>'(3) Growth REIT'!H15</f>
        <v>0.10490740740740745</v>
      </c>
      <c r="D25" s="194">
        <f>'(4) Shrinking REIT'!H15</f>
        <v>0.11030303030303013</v>
      </c>
      <c r="E25" s="54" t="s">
        <v>190</v>
      </c>
      <c r="F25" s="51" t="s">
        <v>296</v>
      </c>
      <c r="G25" s="51"/>
      <c r="H25" s="51"/>
      <c r="I25" s="52"/>
    </row>
    <row r="26" spans="1:9" x14ac:dyDescent="0.25">
      <c r="A26" s="49" t="s">
        <v>180</v>
      </c>
      <c r="B26" s="50">
        <f>'(2) External Equity'!G12</f>
        <v>0.11030303030303013</v>
      </c>
      <c r="C26" s="194">
        <f>'(3) Growth REIT'!H16</f>
        <v>9.0538461538461235E-2</v>
      </c>
      <c r="D26" s="194">
        <f>'(4) Shrinking REIT'!H16</f>
        <v>0.13245283018827014</v>
      </c>
      <c r="E26" s="54" t="s">
        <v>191</v>
      </c>
      <c r="F26" s="51" t="s">
        <v>376</v>
      </c>
      <c r="G26" s="51"/>
      <c r="H26" s="51"/>
      <c r="I26" s="52"/>
    </row>
    <row r="27" spans="1:9" x14ac:dyDescent="0.25">
      <c r="A27" s="187" t="s">
        <v>243</v>
      </c>
      <c r="B27" s="160">
        <f>'(2) External Equity'!G13</f>
        <v>0.11030303030303013</v>
      </c>
      <c r="C27" s="200">
        <f>'(3) Growth REIT'!H17</f>
        <v>0.11573085892159951</v>
      </c>
      <c r="D27" s="200">
        <f>'(4) Shrinking REIT'!H17</f>
        <v>0.18268010291059511</v>
      </c>
      <c r="E27" s="161" t="s">
        <v>194</v>
      </c>
      <c r="F27" s="162" t="s">
        <v>247</v>
      </c>
      <c r="G27" s="162"/>
      <c r="H27" s="162"/>
      <c r="I27" s="163"/>
    </row>
    <row r="28" spans="1:9" x14ac:dyDescent="0.25">
      <c r="A28" s="49" t="s">
        <v>104</v>
      </c>
      <c r="B28" s="50">
        <f>'(2) External Equity'!G14</f>
        <v>1.9999999999999851E-2</v>
      </c>
      <c r="C28" s="194">
        <f>'(3) Growth REIT'!H18</f>
        <v>1.999999999998258E-2</v>
      </c>
      <c r="D28" s="194">
        <f>'(4) Shrinking REIT'!H18</f>
        <v>1.9999999999999851E-2</v>
      </c>
      <c r="E28" s="54" t="s">
        <v>209</v>
      </c>
      <c r="F28" s="51"/>
      <c r="G28" s="51"/>
      <c r="H28" s="51"/>
      <c r="I28" s="52"/>
    </row>
    <row r="29" spans="1:9" x14ac:dyDescent="0.25">
      <c r="A29" s="49" t="s">
        <v>105</v>
      </c>
      <c r="B29" s="50">
        <f>'(2) External Equity'!G15</f>
        <v>3.9393939393939217E-2</v>
      </c>
      <c r="C29" s="194">
        <f>'(3) Growth REIT'!H19</f>
        <v>4.0740740740740772E-2</v>
      </c>
      <c r="D29" s="194">
        <f>'(4) Shrinking REIT'!H19</f>
        <v>3.9393939393939217E-2</v>
      </c>
      <c r="E29" s="54" t="s">
        <v>210</v>
      </c>
      <c r="F29" s="51" t="s">
        <v>296</v>
      </c>
      <c r="G29" s="51"/>
      <c r="H29" s="51"/>
      <c r="I29" s="52"/>
    </row>
    <row r="30" spans="1:9" x14ac:dyDescent="0.25">
      <c r="A30" s="49" t="s">
        <v>105</v>
      </c>
      <c r="B30" s="50">
        <f>'(2) External Equity'!G15</f>
        <v>3.9393939393939217E-2</v>
      </c>
      <c r="C30" s="194">
        <f>'(3) Growth REIT'!H20</f>
        <v>3.7230769230768922E-2</v>
      </c>
      <c r="D30" s="194">
        <f>'(4) Shrinking REIT'!H20</f>
        <v>4.4150943395817321E-2</v>
      </c>
      <c r="E30" s="54" t="s">
        <v>211</v>
      </c>
      <c r="F30" s="51" t="s">
        <v>376</v>
      </c>
      <c r="G30" s="51"/>
      <c r="H30" s="51"/>
      <c r="I30" s="52"/>
    </row>
    <row r="31" spans="1:9" x14ac:dyDescent="0.25">
      <c r="A31" s="187" t="s">
        <v>156</v>
      </c>
      <c r="B31" s="160">
        <f>'(2) External Equity'!G16</f>
        <v>5.3575757575757402E-2</v>
      </c>
      <c r="C31" s="200">
        <f>'(3) Growth REIT'!H21</f>
        <v>7.3084705075445663E-2</v>
      </c>
      <c r="D31" s="200">
        <f>'(4) Shrinking REIT'!H21</f>
        <v>7.0227272721915715E-2</v>
      </c>
      <c r="E31" s="161" t="s">
        <v>254</v>
      </c>
      <c r="F31" s="162" t="s">
        <v>377</v>
      </c>
      <c r="G31" s="201"/>
      <c r="H31" s="162"/>
      <c r="I31" s="163"/>
    </row>
    <row r="32" spans="1:9" x14ac:dyDescent="0.25">
      <c r="A32" s="49" t="s">
        <v>157</v>
      </c>
      <c r="B32" s="50">
        <f>'(2) External Equity'!G17</f>
        <v>0.26429090909090935</v>
      </c>
      <c r="C32" s="194">
        <f>'(3) Growth REIT'!H22</f>
        <v>0.18039317558299017</v>
      </c>
      <c r="D32" s="194">
        <f>'(4) Shrinking REIT'!H22</f>
        <v>-0.14381818181818196</v>
      </c>
      <c r="E32" s="51"/>
      <c r="F32" s="111"/>
      <c r="G32" s="54"/>
      <c r="H32" s="51"/>
      <c r="I32" s="52"/>
    </row>
    <row r="33" spans="1:9" x14ac:dyDescent="0.25">
      <c r="A33" s="187" t="s">
        <v>158</v>
      </c>
      <c r="B33" s="160">
        <f>'(2) External Equity'!G18</f>
        <v>0.26429090909090913</v>
      </c>
      <c r="C33" s="200">
        <f>'(3) Growth REIT'!H23</f>
        <v>0.18039317558299039</v>
      </c>
      <c r="D33" s="200">
        <f>'(4) Shrinking REIT'!H23</f>
        <v>-0.14381818181818218</v>
      </c>
      <c r="E33" s="162"/>
      <c r="F33" s="202"/>
      <c r="G33" s="161"/>
      <c r="H33" s="162"/>
      <c r="I33" s="163"/>
    </row>
    <row r="34" spans="1:9" x14ac:dyDescent="0.25">
      <c r="A34" s="49" t="s">
        <v>161</v>
      </c>
      <c r="B34" s="96">
        <f>'(2) External Equity'!G19</f>
        <v>0.49230769230769228</v>
      </c>
      <c r="C34" s="195">
        <f>'(3) Growth REIT'!H24</f>
        <v>0.46280991735537191</v>
      </c>
      <c r="D34" s="195">
        <f>'(4) Shrinking REIT'!H24</f>
        <v>0.54700854700854695</v>
      </c>
      <c r="E34" s="51" t="s">
        <v>313</v>
      </c>
      <c r="F34" s="111"/>
      <c r="G34" s="54"/>
      <c r="H34" s="51"/>
      <c r="I34" s="104"/>
    </row>
    <row r="35" spans="1:9" x14ac:dyDescent="0.25">
      <c r="A35" s="103" t="s">
        <v>162</v>
      </c>
      <c r="B35" s="102">
        <f>'(2) External Equity'!G20</f>
        <v>2.5</v>
      </c>
      <c r="C35" s="196">
        <f>'(3) Growth REIT'!H25</f>
        <v>2.5</v>
      </c>
      <c r="D35" s="196">
        <f>'(4) Shrinking REIT'!H25</f>
        <v>2.5</v>
      </c>
      <c r="E35" s="101"/>
      <c r="F35" s="111"/>
      <c r="G35" s="101"/>
      <c r="H35" s="101"/>
      <c r="I35" s="104"/>
    </row>
    <row r="36" spans="1:9" ht="13.8" thickBot="1" x14ac:dyDescent="0.3">
      <c r="A36" s="97" t="s">
        <v>179</v>
      </c>
      <c r="B36" s="192">
        <f>1</f>
        <v>1</v>
      </c>
      <c r="C36" s="198">
        <f>'(3) Growth REIT'!H26</f>
        <v>1.2037037037037037</v>
      </c>
      <c r="D36" s="198">
        <f>'(4) Shrinking REIT'!H26</f>
        <v>0.80303030303030298</v>
      </c>
      <c r="E36" s="99"/>
      <c r="F36" s="99"/>
      <c r="G36" s="99"/>
      <c r="H36" s="99"/>
      <c r="I36" s="100"/>
    </row>
  </sheetData>
  <phoneticPr fontId="2"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6"/>
  <sheetViews>
    <sheetView workbookViewId="0"/>
  </sheetViews>
  <sheetFormatPr defaultRowHeight="13.2" x14ac:dyDescent="0.25"/>
  <cols>
    <col min="1" max="1" width="31.88671875" customWidth="1"/>
    <col min="2" max="2" width="11.21875" customWidth="1"/>
    <col min="3" max="3" width="10" customWidth="1"/>
    <col min="4" max="4" width="10.5546875" customWidth="1"/>
    <col min="6" max="6" width="27.5546875" customWidth="1"/>
    <col min="8" max="8" width="7" customWidth="1"/>
    <col min="10" max="10" width="11" customWidth="1"/>
  </cols>
  <sheetData>
    <row r="1" spans="1:12" x14ac:dyDescent="0.25">
      <c r="A1" s="93" t="s">
        <v>411</v>
      </c>
    </row>
    <row r="2" spans="1:12" x14ac:dyDescent="0.25">
      <c r="A2" t="s">
        <v>112</v>
      </c>
    </row>
    <row r="3" spans="1:12" x14ac:dyDescent="0.25">
      <c r="A3" t="s">
        <v>113</v>
      </c>
    </row>
    <row r="4" spans="1:12" x14ac:dyDescent="0.25">
      <c r="A4" t="s">
        <v>114</v>
      </c>
    </row>
    <row r="5" spans="1:12" x14ac:dyDescent="0.25">
      <c r="A5" t="s">
        <v>175</v>
      </c>
    </row>
    <row r="6" spans="1:12" ht="13.8" thickBot="1" x14ac:dyDescent="0.3"/>
    <row r="7" spans="1:12" x14ac:dyDescent="0.25">
      <c r="A7" s="92" t="s">
        <v>108</v>
      </c>
      <c r="B7" s="39"/>
      <c r="F7" s="94" t="s">
        <v>109</v>
      </c>
      <c r="G7" s="47"/>
      <c r="H7" s="47"/>
      <c r="I7" s="47" t="s">
        <v>251</v>
      </c>
      <c r="J7" s="47"/>
      <c r="K7" s="48"/>
    </row>
    <row r="8" spans="1:12" x14ac:dyDescent="0.25">
      <c r="A8" s="139" t="s">
        <v>264</v>
      </c>
      <c r="B8" s="44"/>
      <c r="F8" s="49" t="s">
        <v>100</v>
      </c>
      <c r="G8" s="50">
        <f>C22/B31</f>
        <v>6.8000000000000005E-2</v>
      </c>
      <c r="H8" s="54" t="s">
        <v>167</v>
      </c>
      <c r="I8" s="51"/>
      <c r="J8" s="51"/>
      <c r="K8" s="52"/>
    </row>
    <row r="9" spans="1:12" x14ac:dyDescent="0.25">
      <c r="A9" s="40" t="s">
        <v>61</v>
      </c>
      <c r="B9" s="41">
        <f>Analyzer!B3</f>
        <v>100</v>
      </c>
      <c r="F9" s="49" t="s">
        <v>99</v>
      </c>
      <c r="G9" s="50">
        <f>C27/B33</f>
        <v>7.0909090909090908E-2</v>
      </c>
      <c r="H9" s="54" t="s">
        <v>164</v>
      </c>
      <c r="I9" s="51" t="s">
        <v>296</v>
      </c>
      <c r="J9" s="51"/>
      <c r="K9" s="52"/>
    </row>
    <row r="10" spans="1:12" x14ac:dyDescent="0.25">
      <c r="A10" s="40" t="s">
        <v>62</v>
      </c>
      <c r="B10" s="42">
        <f>Analyzer!B4</f>
        <v>0.15</v>
      </c>
      <c r="F10" s="49" t="s">
        <v>101</v>
      </c>
      <c r="G10" s="50">
        <f>C75/B81</f>
        <v>5.6727272727272723E-2</v>
      </c>
      <c r="H10" s="54" t="s">
        <v>165</v>
      </c>
      <c r="I10" s="51" t="s">
        <v>103</v>
      </c>
      <c r="J10" s="51"/>
      <c r="K10" s="52"/>
    </row>
    <row r="11" spans="1:12" x14ac:dyDescent="0.25">
      <c r="A11" s="40" t="s">
        <v>64</v>
      </c>
      <c r="B11" s="43">
        <f>Analyzer!B5</f>
        <v>0.02</v>
      </c>
      <c r="F11" s="49" t="s">
        <v>94</v>
      </c>
      <c r="G11" s="50">
        <f>IRR(B24:D24)</f>
        <v>8.7999999999999856E-2</v>
      </c>
      <c r="H11" s="54" t="s">
        <v>168</v>
      </c>
      <c r="I11" s="51"/>
      <c r="J11" s="51"/>
      <c r="K11" s="52"/>
    </row>
    <row r="12" spans="1:12" x14ac:dyDescent="0.25">
      <c r="A12" s="40" t="s">
        <v>102</v>
      </c>
      <c r="B12" s="43">
        <f>Analyzer!B6</f>
        <v>0.08</v>
      </c>
      <c r="F12" s="49" t="s">
        <v>95</v>
      </c>
      <c r="G12" s="50">
        <f>IRR(B34:D34)</f>
        <v>0.11030303030303013</v>
      </c>
      <c r="H12" s="54" t="s">
        <v>169</v>
      </c>
      <c r="I12" s="51" t="s">
        <v>296</v>
      </c>
      <c r="J12" s="51"/>
      <c r="K12" s="52"/>
    </row>
    <row r="13" spans="1:12" x14ac:dyDescent="0.25">
      <c r="A13" s="141" t="s">
        <v>63</v>
      </c>
      <c r="B13" s="142">
        <f>Analyzer!B7</f>
        <v>6.5000000000000002E-2</v>
      </c>
      <c r="F13" s="49" t="s">
        <v>96</v>
      </c>
      <c r="G13" s="50">
        <f>IRR(B86:D86)</f>
        <v>0.11030303030303035</v>
      </c>
      <c r="H13" s="54" t="s">
        <v>170</v>
      </c>
      <c r="I13" s="51"/>
      <c r="J13" s="51"/>
      <c r="K13" s="52"/>
    </row>
    <row r="14" spans="1:12" x14ac:dyDescent="0.25">
      <c r="A14" s="139" t="s">
        <v>265</v>
      </c>
      <c r="B14" s="43"/>
      <c r="F14" s="49" t="s">
        <v>104</v>
      </c>
      <c r="G14" s="50">
        <f>G11-G8</f>
        <v>1.9999999999999851E-2</v>
      </c>
      <c r="H14" s="54" t="s">
        <v>171</v>
      </c>
      <c r="I14" s="51"/>
      <c r="J14" s="51"/>
      <c r="K14" s="52"/>
    </row>
    <row r="15" spans="1:12" x14ac:dyDescent="0.25">
      <c r="A15" s="40" t="s">
        <v>266</v>
      </c>
      <c r="B15" s="44">
        <f>Analyzer!B11</f>
        <v>2.5</v>
      </c>
      <c r="C15" t="s">
        <v>267</v>
      </c>
      <c r="F15" s="49" t="s">
        <v>105</v>
      </c>
      <c r="G15" s="50">
        <f>G12-G9</f>
        <v>3.9393939393939217E-2</v>
      </c>
      <c r="H15" s="54" t="s">
        <v>166</v>
      </c>
      <c r="I15" s="51" t="s">
        <v>296</v>
      </c>
      <c r="J15" s="51"/>
      <c r="K15" s="181">
        <f>(C31-B32-B33)/B33</f>
        <v>3.9393939393939391E-2</v>
      </c>
      <c r="L15" s="55" t="s">
        <v>362</v>
      </c>
    </row>
    <row r="16" spans="1:12" ht="13.8" thickBot="1" x14ac:dyDescent="0.3">
      <c r="A16" s="45" t="s">
        <v>111</v>
      </c>
      <c r="B16" s="43">
        <f>Analyzer!B12</f>
        <v>0.2</v>
      </c>
      <c r="C16" t="s">
        <v>338</v>
      </c>
      <c r="F16" s="49" t="s">
        <v>106</v>
      </c>
      <c r="G16" s="50">
        <f>G13-G10</f>
        <v>5.3575757575757624E-2</v>
      </c>
      <c r="H16" s="54" t="s">
        <v>172</v>
      </c>
      <c r="I16" s="111">
        <f>G15+B16*G9</f>
        <v>5.3575757575757402E-2</v>
      </c>
      <c r="J16" s="54" t="s">
        <v>110</v>
      </c>
      <c r="K16" s="52" t="s">
        <v>215</v>
      </c>
    </row>
    <row r="17" spans="1:11" x14ac:dyDescent="0.25">
      <c r="F17" s="49" t="s">
        <v>269</v>
      </c>
      <c r="G17" s="101">
        <f>C28/(G13-G16)</f>
        <v>634.61538461538464</v>
      </c>
      <c r="H17" s="51"/>
      <c r="I17" s="111">
        <f>(D81-C81)/C81</f>
        <v>5.3575757575757513E-2</v>
      </c>
      <c r="J17" s="51"/>
      <c r="K17" s="52"/>
    </row>
    <row r="18" spans="1:11" ht="13.8" thickBot="1" x14ac:dyDescent="0.3">
      <c r="A18" s="60" t="s">
        <v>117</v>
      </c>
      <c r="F18" s="53" t="s">
        <v>270</v>
      </c>
      <c r="G18" s="99">
        <f>C27/(G13-G15)</f>
        <v>634.6153846153826</v>
      </c>
      <c r="H18" s="145"/>
      <c r="I18" s="145"/>
      <c r="J18" s="145"/>
      <c r="K18" s="140"/>
    </row>
    <row r="19" spans="1:11" x14ac:dyDescent="0.25">
      <c r="A19" s="1" t="s">
        <v>89</v>
      </c>
      <c r="B19">
        <v>0</v>
      </c>
      <c r="C19">
        <v>1</v>
      </c>
      <c r="D19">
        <v>2</v>
      </c>
      <c r="E19">
        <v>3</v>
      </c>
      <c r="G19" s="180"/>
    </row>
    <row r="20" spans="1:11" s="8" customFormat="1" x14ac:dyDescent="0.25">
      <c r="A20" s="21" t="s">
        <v>118</v>
      </c>
      <c r="B20" s="21"/>
      <c r="C20" s="21">
        <f>B9</f>
        <v>100</v>
      </c>
      <c r="D20" s="21">
        <f>(1+$B$11)*C20</f>
        <v>102</v>
      </c>
      <c r="E20" s="21">
        <f>(1+$B$11)*D20</f>
        <v>104.04</v>
      </c>
    </row>
    <row r="21" spans="1:11" s="8" customFormat="1" x14ac:dyDescent="0.25">
      <c r="A21" s="22" t="s">
        <v>119</v>
      </c>
      <c r="B21" s="22"/>
      <c r="C21" s="22">
        <f>$B$10*C20</f>
        <v>15</v>
      </c>
      <c r="D21" s="22">
        <f>$B$10*D20</f>
        <v>15.299999999999999</v>
      </c>
      <c r="E21" s="22">
        <f>$B$10*E20</f>
        <v>15.606</v>
      </c>
    </row>
    <row r="22" spans="1:11" s="8" customFormat="1" x14ac:dyDescent="0.25">
      <c r="A22" s="21" t="s">
        <v>65</v>
      </c>
      <c r="B22" s="21"/>
      <c r="C22" s="21">
        <f>C20-C21</f>
        <v>85</v>
      </c>
      <c r="D22" s="21">
        <f>D20-D21</f>
        <v>86.7</v>
      </c>
      <c r="E22" s="21">
        <f>E20-E21</f>
        <v>88.434000000000012</v>
      </c>
    </row>
    <row r="23" spans="1:11" s="8" customFormat="1" x14ac:dyDescent="0.25">
      <c r="A23" s="21" t="s">
        <v>66</v>
      </c>
      <c r="B23" s="21"/>
      <c r="C23" s="21"/>
      <c r="D23" s="21">
        <f>E20/$B$12</f>
        <v>1300.5</v>
      </c>
      <c r="E23" s="21"/>
    </row>
    <row r="24" spans="1:11" s="8" customFormat="1" x14ac:dyDescent="0.25">
      <c r="A24" s="21" t="s">
        <v>120</v>
      </c>
      <c r="B24" s="21">
        <f>-C20/B12</f>
        <v>-1250</v>
      </c>
      <c r="C24" s="21">
        <f>SUM(C22:C23)</f>
        <v>85</v>
      </c>
      <c r="D24" s="21">
        <f>SUM(D22:D23)</f>
        <v>1387.2</v>
      </c>
      <c r="E24" s="21"/>
    </row>
    <row r="25" spans="1:11" s="8" customFormat="1" x14ac:dyDescent="0.25">
      <c r="A25" s="21"/>
      <c r="B25" s="21"/>
      <c r="C25" s="21"/>
      <c r="D25" s="21"/>
      <c r="E25" s="21"/>
    </row>
    <row r="26" spans="1:11" s="8" customFormat="1" x14ac:dyDescent="0.25">
      <c r="A26" s="22" t="s">
        <v>121</v>
      </c>
      <c r="B26" s="22"/>
      <c r="C26" s="22">
        <f>C20/$B$15</f>
        <v>40</v>
      </c>
      <c r="D26" s="22">
        <f>D20/$B$15</f>
        <v>40.799999999999997</v>
      </c>
      <c r="E26" s="22">
        <f>E20/$B$15</f>
        <v>41.616</v>
      </c>
    </row>
    <row r="27" spans="1:11" x14ac:dyDescent="0.25">
      <c r="A27" s="21" t="s">
        <v>122</v>
      </c>
      <c r="B27" s="23"/>
      <c r="C27" s="21">
        <f>C20-C26-C21</f>
        <v>45</v>
      </c>
      <c r="D27" s="21">
        <f>D20-D26-D21</f>
        <v>45.900000000000006</v>
      </c>
      <c r="E27" s="21">
        <f>E20-E26-E21</f>
        <v>46.818000000000005</v>
      </c>
    </row>
    <row r="28" spans="1:11" x14ac:dyDescent="0.25">
      <c r="A28" s="21" t="s">
        <v>123</v>
      </c>
      <c r="B28" s="23"/>
      <c r="C28" s="21">
        <f>(1-$B$16)*C27</f>
        <v>36</v>
      </c>
      <c r="D28" s="21">
        <f>(1-$B$16)*D27</f>
        <v>36.720000000000006</v>
      </c>
      <c r="E28" s="21">
        <f>(1-$B$16)*E27</f>
        <v>37.454400000000007</v>
      </c>
    </row>
    <row r="29" spans="1:11" x14ac:dyDescent="0.25">
      <c r="A29" s="21" t="s">
        <v>124</v>
      </c>
      <c r="B29" s="23"/>
      <c r="C29" s="21">
        <f>$B$16*C27</f>
        <v>9</v>
      </c>
      <c r="D29" s="21">
        <f>$B$16*D27</f>
        <v>9.1800000000000015</v>
      </c>
      <c r="E29" s="21">
        <f>$B$16*E27</f>
        <v>9.3636000000000017</v>
      </c>
    </row>
    <row r="30" spans="1:11" x14ac:dyDescent="0.25">
      <c r="A30" s="23"/>
      <c r="B30" s="23"/>
      <c r="C30" s="23"/>
      <c r="D30" s="23"/>
      <c r="E30" s="23"/>
    </row>
    <row r="31" spans="1:11" x14ac:dyDescent="0.25">
      <c r="A31" s="21" t="s">
        <v>125</v>
      </c>
      <c r="B31" s="21">
        <f>C20/$B$12</f>
        <v>1250</v>
      </c>
      <c r="C31" s="21">
        <f>D20/$B$12</f>
        <v>1275</v>
      </c>
      <c r="D31" s="21">
        <f>E20/$B$12</f>
        <v>1300.5</v>
      </c>
      <c r="E31" s="21"/>
    </row>
    <row r="32" spans="1:11" x14ac:dyDescent="0.25">
      <c r="A32" s="22" t="s">
        <v>126</v>
      </c>
      <c r="B32" s="22">
        <f>C26/$B$13</f>
        <v>615.38461538461536</v>
      </c>
      <c r="C32" s="22">
        <f>D26/$B$13</f>
        <v>627.69230769230762</v>
      </c>
      <c r="D32" s="22">
        <f>E26/$B$13</f>
        <v>640.24615384615379</v>
      </c>
      <c r="E32" s="22"/>
    </row>
    <row r="33" spans="1:6" x14ac:dyDescent="0.25">
      <c r="A33" s="21" t="s">
        <v>127</v>
      </c>
      <c r="B33" s="21">
        <f>B31-B32</f>
        <v>634.61538461538464</v>
      </c>
      <c r="C33" s="21">
        <f>C31-C32</f>
        <v>647.30769230769238</v>
      </c>
      <c r="D33" s="21">
        <f>D31-D32</f>
        <v>660.25384615384621</v>
      </c>
      <c r="E33" s="21"/>
    </row>
    <row r="34" spans="1:6" x14ac:dyDescent="0.25">
      <c r="A34" s="21" t="s">
        <v>93</v>
      </c>
      <c r="B34" s="21">
        <f>-B33</f>
        <v>-634.61538461538464</v>
      </c>
      <c r="C34" s="21">
        <f>C27+C32-B32</f>
        <v>57.307692307692264</v>
      </c>
      <c r="D34" s="21">
        <f>D27+D32-C32+D33</f>
        <v>718.70769230769235</v>
      </c>
      <c r="E34" s="21"/>
    </row>
    <row r="35" spans="1:6" x14ac:dyDescent="0.25">
      <c r="A35" s="23"/>
      <c r="B35" s="23"/>
      <c r="C35" s="23"/>
      <c r="D35" s="23"/>
      <c r="E35" s="23"/>
    </row>
    <row r="36" spans="1:6" x14ac:dyDescent="0.25">
      <c r="A36" s="21" t="s">
        <v>128</v>
      </c>
      <c r="B36" s="24">
        <f>C27/B33</f>
        <v>7.0909090909090908E-2</v>
      </c>
      <c r="C36" s="24">
        <f>D27/C33</f>
        <v>7.0909090909090908E-2</v>
      </c>
      <c r="D36" s="24">
        <f>E27/D33</f>
        <v>7.0909090909090908E-2</v>
      </c>
      <c r="E36" s="24"/>
    </row>
    <row r="37" spans="1:6" x14ac:dyDescent="0.25">
      <c r="A37" s="21" t="s">
        <v>129</v>
      </c>
      <c r="B37" s="24">
        <f>C28/B33</f>
        <v>5.6727272727272723E-2</v>
      </c>
      <c r="C37" s="24">
        <f>D28/C33</f>
        <v>5.672727272727273E-2</v>
      </c>
      <c r="D37" s="24">
        <f>E28/D33</f>
        <v>5.672727272727273E-2</v>
      </c>
      <c r="E37" s="24"/>
    </row>
    <row r="39" spans="1:6" x14ac:dyDescent="0.25">
      <c r="A39" s="25" t="s">
        <v>226</v>
      </c>
      <c r="B39" s="26"/>
      <c r="C39" s="26"/>
      <c r="D39" s="26"/>
      <c r="E39" s="26"/>
    </row>
    <row r="40" spans="1:6" x14ac:dyDescent="0.25">
      <c r="A40" s="27" t="s">
        <v>67</v>
      </c>
      <c r="B40" s="28"/>
      <c r="C40" s="28"/>
      <c r="D40" s="27">
        <f>C47*B12</f>
        <v>3.3575757575757503</v>
      </c>
      <c r="E40" s="27">
        <f>(1+$B$11)*D40</f>
        <v>3.4247272727272655</v>
      </c>
    </row>
    <row r="41" spans="1:6" x14ac:dyDescent="0.25">
      <c r="A41" s="27" t="s">
        <v>68</v>
      </c>
      <c r="B41" s="28"/>
      <c r="C41" s="28"/>
      <c r="D41" s="27">
        <f>$B$10*D40</f>
        <v>0.50363636363636255</v>
      </c>
      <c r="E41" s="27">
        <f>$B$10*E40</f>
        <v>0.51370909090908978</v>
      </c>
    </row>
    <row r="42" spans="1:6" x14ac:dyDescent="0.25">
      <c r="A42" s="29" t="s">
        <v>69</v>
      </c>
      <c r="B42" s="26"/>
      <c r="C42" s="26"/>
      <c r="D42" s="29">
        <f>C48*B13</f>
        <v>1.3430303030303001</v>
      </c>
      <c r="E42" s="29">
        <f>E40/$B$15</f>
        <v>1.3698909090909062</v>
      </c>
    </row>
    <row r="43" spans="1:6" x14ac:dyDescent="0.25">
      <c r="A43" s="25" t="s">
        <v>70</v>
      </c>
      <c r="B43" s="26"/>
      <c r="C43" s="26"/>
      <c r="D43" s="25">
        <f>D40-D41-D42</f>
        <v>1.5109090909090876</v>
      </c>
      <c r="E43" s="25">
        <f>E40-E41-E42</f>
        <v>1.5411272727272698</v>
      </c>
    </row>
    <row r="44" spans="1:6" x14ac:dyDescent="0.25">
      <c r="A44" s="25" t="s">
        <v>71</v>
      </c>
      <c r="B44" s="26"/>
      <c r="C44" s="26"/>
      <c r="D44" s="25">
        <f>(1-$B$16)*D43</f>
        <v>1.2087272727272702</v>
      </c>
      <c r="E44" s="25">
        <f>(1-$B$16)*E43</f>
        <v>1.2329018181818159</v>
      </c>
    </row>
    <row r="45" spans="1:6" x14ac:dyDescent="0.25">
      <c r="A45" s="25" t="s">
        <v>72</v>
      </c>
      <c r="B45" s="26"/>
      <c r="C45" s="26"/>
      <c r="D45" s="25">
        <f>$B$16*D43</f>
        <v>0.30218181818181755</v>
      </c>
      <c r="E45" s="25">
        <f>$B$16*E43</f>
        <v>0.30822545454545397</v>
      </c>
    </row>
    <row r="46" spans="1:6" x14ac:dyDescent="0.25">
      <c r="A46" s="26"/>
      <c r="B46" s="26"/>
      <c r="C46" s="26"/>
      <c r="D46" s="26"/>
      <c r="E46" s="26"/>
    </row>
    <row r="47" spans="1:6" x14ac:dyDescent="0.25">
      <c r="A47" s="25" t="s">
        <v>73</v>
      </c>
      <c r="B47" s="26"/>
      <c r="C47" s="25">
        <f>(C31/C33)*(C29+(C32-B32))</f>
        <v>41.969696969696876</v>
      </c>
      <c r="D47" s="25">
        <f>E40/$B$12</f>
        <v>42.80909090909082</v>
      </c>
      <c r="E47" s="25"/>
      <c r="F47" t="s">
        <v>242</v>
      </c>
    </row>
    <row r="48" spans="1:6" x14ac:dyDescent="0.25">
      <c r="A48" s="29" t="s">
        <v>74</v>
      </c>
      <c r="B48" s="26"/>
      <c r="C48" s="29">
        <f>(C32/C31)*C47</f>
        <v>20.662004662004616</v>
      </c>
      <c r="D48" s="29">
        <f>E42/$B$13</f>
        <v>21.075244755244711</v>
      </c>
      <c r="E48" s="29"/>
    </row>
    <row r="49" spans="1:5" x14ac:dyDescent="0.25">
      <c r="A49" s="25" t="s">
        <v>75</v>
      </c>
      <c r="B49" s="26"/>
      <c r="C49" s="25">
        <f>C47-C48</f>
        <v>21.30769230769226</v>
      </c>
      <c r="D49" s="25">
        <f>D47-D48</f>
        <v>21.733846153846109</v>
      </c>
      <c r="E49" s="25"/>
    </row>
    <row r="50" spans="1:5" x14ac:dyDescent="0.25">
      <c r="A50" s="26"/>
      <c r="B50" s="26"/>
      <c r="C50" s="26"/>
      <c r="D50" s="26"/>
      <c r="E50" s="26"/>
    </row>
    <row r="51" spans="1:5" x14ac:dyDescent="0.25">
      <c r="A51" s="25" t="s">
        <v>76</v>
      </c>
      <c r="B51" s="26"/>
      <c r="C51" s="30">
        <f>D43/C49</f>
        <v>7.0909090909090908E-2</v>
      </c>
      <c r="D51" s="30">
        <f>E43/D49</f>
        <v>7.0909090909090922E-2</v>
      </c>
      <c r="E51" s="30"/>
    </row>
    <row r="52" spans="1:5" x14ac:dyDescent="0.25">
      <c r="A52" s="25" t="s">
        <v>77</v>
      </c>
      <c r="B52" s="26"/>
      <c r="C52" s="30">
        <f>D44/C49</f>
        <v>5.6727272727272737E-2</v>
      </c>
      <c r="D52" s="30">
        <f>E44/D49</f>
        <v>5.6727272727272737E-2</v>
      </c>
      <c r="E52" s="30"/>
    </row>
    <row r="54" spans="1:5" x14ac:dyDescent="0.25">
      <c r="A54" s="31" t="s">
        <v>130</v>
      </c>
      <c r="B54" s="32"/>
      <c r="C54" s="32"/>
      <c r="D54" s="32"/>
      <c r="E54" s="32"/>
    </row>
    <row r="55" spans="1:5" x14ac:dyDescent="0.25">
      <c r="A55" s="33" t="s">
        <v>78</v>
      </c>
      <c r="B55" s="34"/>
      <c r="C55" s="34"/>
      <c r="D55" s="34"/>
      <c r="E55" s="33">
        <f>D62*B12</f>
        <v>3.5374604224058794</v>
      </c>
    </row>
    <row r="56" spans="1:5" x14ac:dyDescent="0.25">
      <c r="A56" s="33" t="s">
        <v>79</v>
      </c>
      <c r="B56" s="34"/>
      <c r="C56" s="34"/>
      <c r="D56" s="34"/>
      <c r="E56" s="33">
        <f>$B$10*E55</f>
        <v>0.53061906336088194</v>
      </c>
    </row>
    <row r="57" spans="1:5" x14ac:dyDescent="0.25">
      <c r="A57" s="35" t="s">
        <v>80</v>
      </c>
      <c r="B57" s="34"/>
      <c r="C57" s="34"/>
      <c r="D57" s="32"/>
      <c r="E57" s="35">
        <f>D63*B13</f>
        <v>1.4149841689623517</v>
      </c>
    </row>
    <row r="58" spans="1:5" x14ac:dyDescent="0.25">
      <c r="A58" s="31" t="s">
        <v>81</v>
      </c>
      <c r="B58" s="34"/>
      <c r="C58" s="34"/>
      <c r="D58" s="32"/>
      <c r="E58" s="31">
        <f>E55-E56-E57</f>
        <v>1.5918571900826457</v>
      </c>
    </row>
    <row r="59" spans="1:5" x14ac:dyDescent="0.25">
      <c r="A59" s="31" t="s">
        <v>82</v>
      </c>
      <c r="B59" s="34"/>
      <c r="C59" s="34"/>
      <c r="D59" s="32"/>
      <c r="E59" s="31">
        <f>(1-$B$16)*E58</f>
        <v>1.2734857520661167</v>
      </c>
    </row>
    <row r="60" spans="1:5" x14ac:dyDescent="0.25">
      <c r="A60" s="31" t="s">
        <v>83</v>
      </c>
      <c r="B60" s="34"/>
      <c r="C60" s="34"/>
      <c r="D60" s="32"/>
      <c r="E60" s="31">
        <f>$B$16*E58</f>
        <v>0.31837143801652917</v>
      </c>
    </row>
    <row r="61" spans="1:5" x14ac:dyDescent="0.25">
      <c r="A61" s="32"/>
      <c r="B61" s="34"/>
      <c r="C61" s="34"/>
      <c r="D61" s="32"/>
      <c r="E61" s="32"/>
    </row>
    <row r="62" spans="1:5" x14ac:dyDescent="0.25">
      <c r="A62" s="31" t="s">
        <v>84</v>
      </c>
      <c r="B62" s="34"/>
      <c r="C62" s="33"/>
      <c r="D62" s="31">
        <f>(D31/D33)*(D29+D45+(D32-C32)+(D48-C48))</f>
        <v>44.218255280073492</v>
      </c>
      <c r="E62" s="31"/>
    </row>
    <row r="63" spans="1:5" x14ac:dyDescent="0.25">
      <c r="A63" s="35" t="s">
        <v>85</v>
      </c>
      <c r="B63" s="34"/>
      <c r="C63" s="33"/>
      <c r="D63" s="35">
        <f>(D32/D31)*D62</f>
        <v>21.76898721480541</v>
      </c>
      <c r="E63" s="35"/>
    </row>
    <row r="64" spans="1:5" x14ac:dyDescent="0.25">
      <c r="A64" s="31" t="s">
        <v>86</v>
      </c>
      <c r="B64" s="34"/>
      <c r="C64" s="33"/>
      <c r="D64" s="31">
        <f>D62-D63</f>
        <v>22.449268065268082</v>
      </c>
      <c r="E64" s="31"/>
    </row>
    <row r="65" spans="1:8" x14ac:dyDescent="0.25">
      <c r="A65" s="32"/>
      <c r="B65" s="34"/>
      <c r="C65" s="34"/>
      <c r="D65" s="32"/>
      <c r="E65" s="32"/>
    </row>
    <row r="66" spans="1:8" x14ac:dyDescent="0.25">
      <c r="A66" s="31" t="s">
        <v>88</v>
      </c>
      <c r="B66" s="34"/>
      <c r="C66" s="36"/>
      <c r="D66" s="37">
        <f>E58/D64</f>
        <v>7.0909090909090908E-2</v>
      </c>
      <c r="E66" s="37"/>
    </row>
    <row r="67" spans="1:8" x14ac:dyDescent="0.25">
      <c r="A67" s="31" t="s">
        <v>87</v>
      </c>
      <c r="B67" s="34"/>
      <c r="C67" s="36"/>
      <c r="D67" s="37">
        <f>E59/D64</f>
        <v>5.672727272727273E-2</v>
      </c>
      <c r="E67" s="37"/>
    </row>
    <row r="68" spans="1:8" ht="13.8" thickBot="1" x14ac:dyDescent="0.3">
      <c r="A68" s="38"/>
      <c r="B68" s="38"/>
      <c r="C68" s="38"/>
      <c r="D68" s="38"/>
      <c r="E68" s="38"/>
    </row>
    <row r="69" spans="1:8" ht="14.4" thickTop="1" thickBot="1" x14ac:dyDescent="0.3"/>
    <row r="70" spans="1:8" x14ac:dyDescent="0.25">
      <c r="A70" s="67" t="s">
        <v>131</v>
      </c>
      <c r="B70" s="68"/>
      <c r="C70" s="68"/>
      <c r="D70" s="68"/>
      <c r="E70" s="69"/>
    </row>
    <row r="71" spans="1:8" x14ac:dyDescent="0.25">
      <c r="A71" s="74" t="s">
        <v>90</v>
      </c>
      <c r="B71" s="60"/>
      <c r="C71" s="61">
        <f>C20+C40+C55</f>
        <v>100</v>
      </c>
      <c r="D71" s="61">
        <f>D20+D40+D55</f>
        <v>105.35757575757575</v>
      </c>
      <c r="E71" s="75">
        <f>E20+E40+E55</f>
        <v>111.00218769513316</v>
      </c>
    </row>
    <row r="72" spans="1:8" x14ac:dyDescent="0.25">
      <c r="A72" s="72" t="s">
        <v>91</v>
      </c>
      <c r="B72" s="64"/>
      <c r="C72" s="64"/>
      <c r="D72" s="65">
        <f>D71/C71-1</f>
        <v>5.3575757575757388E-2</v>
      </c>
      <c r="E72" s="73">
        <f>E71/D71-1</f>
        <v>5.3575757575757832E-2</v>
      </c>
    </row>
    <row r="73" spans="1:8" x14ac:dyDescent="0.25">
      <c r="A73" s="70" t="s">
        <v>107</v>
      </c>
      <c r="B73" s="59"/>
      <c r="C73" s="63">
        <f>C27+C43+C58</f>
        <v>45</v>
      </c>
      <c r="D73" s="63">
        <f>D27+D43+D58</f>
        <v>47.410909090909094</v>
      </c>
      <c r="E73" s="71">
        <f>E27+E43+E58</f>
        <v>49.950984462809927</v>
      </c>
    </row>
    <row r="74" spans="1:8" x14ac:dyDescent="0.25">
      <c r="A74" s="72" t="s">
        <v>91</v>
      </c>
      <c r="B74" s="64"/>
      <c r="C74" s="64"/>
      <c r="D74" s="65">
        <f>D73/C73-1</f>
        <v>5.357575757575761E-2</v>
      </c>
      <c r="E74" s="73">
        <f>E73/D73-1</f>
        <v>5.3575757575757832E-2</v>
      </c>
    </row>
    <row r="75" spans="1:8" x14ac:dyDescent="0.25">
      <c r="A75" s="74" t="s">
        <v>92</v>
      </c>
      <c r="B75" s="60"/>
      <c r="C75" s="61">
        <f>C28+C44+C59</f>
        <v>36</v>
      </c>
      <c r="D75" s="61">
        <f>D28+D44+D59</f>
        <v>37.928727272727279</v>
      </c>
      <c r="E75" s="75">
        <f>E28+E44+E59</f>
        <v>39.960787570247938</v>
      </c>
    </row>
    <row r="76" spans="1:8" x14ac:dyDescent="0.25">
      <c r="A76" s="72" t="s">
        <v>91</v>
      </c>
      <c r="B76" s="64"/>
      <c r="C76" s="64"/>
      <c r="D76" s="65">
        <f>D75/C75-1</f>
        <v>5.3575757575757832E-2</v>
      </c>
      <c r="E76" s="73">
        <f>E75/D75-1</f>
        <v>5.3575757575757388E-2</v>
      </c>
    </row>
    <row r="77" spans="1:8" x14ac:dyDescent="0.25">
      <c r="A77" s="70" t="s">
        <v>212</v>
      </c>
      <c r="B77" s="63">
        <f>B31</f>
        <v>1250</v>
      </c>
      <c r="C77" s="63">
        <f>C31+C47</f>
        <v>1316.9696969696968</v>
      </c>
      <c r="D77" s="63">
        <f>D31+D47+D62</f>
        <v>1387.5273461891643</v>
      </c>
      <c r="E77" s="77"/>
    </row>
    <row r="78" spans="1:8" x14ac:dyDescent="0.25">
      <c r="A78" s="72" t="s">
        <v>91</v>
      </c>
      <c r="B78" s="64"/>
      <c r="C78" s="65">
        <f>C77/B77-1</f>
        <v>5.3575757575757388E-2</v>
      </c>
      <c r="D78" s="65">
        <f>D77/C77-1</f>
        <v>5.357575757575761E-2</v>
      </c>
      <c r="E78" s="78"/>
    </row>
    <row r="79" spans="1:8" x14ac:dyDescent="0.25">
      <c r="A79" s="74" t="s">
        <v>213</v>
      </c>
      <c r="B79" s="61">
        <f>B32</f>
        <v>615.38461538461536</v>
      </c>
      <c r="C79" s="61">
        <f>C32+C48</f>
        <v>648.35431235431224</v>
      </c>
      <c r="D79" s="61">
        <f>D32+D48+D63</f>
        <v>683.09038581620393</v>
      </c>
      <c r="E79" s="76"/>
    </row>
    <row r="80" spans="1:8" x14ac:dyDescent="0.25">
      <c r="A80" s="72" t="s">
        <v>91</v>
      </c>
      <c r="B80" s="64"/>
      <c r="C80" s="65">
        <f>C79/B79-1</f>
        <v>5.3575757575757388E-2</v>
      </c>
      <c r="D80" s="65">
        <f>D79/C79-1</f>
        <v>5.357575757575761E-2</v>
      </c>
      <c r="E80" s="73"/>
      <c r="G80" s="8">
        <f>E73/(G13-G15)</f>
        <v>704.43696037295831</v>
      </c>
      <c r="H80" s="55" t="s">
        <v>364</v>
      </c>
    </row>
    <row r="81" spans="1:8" x14ac:dyDescent="0.25">
      <c r="A81" s="74" t="s">
        <v>367</v>
      </c>
      <c r="B81" s="61">
        <f>B33+B49+B64</f>
        <v>634.61538461538464</v>
      </c>
      <c r="C81" s="61">
        <f>C33+C49+C64</f>
        <v>668.61538461538464</v>
      </c>
      <c r="D81" s="61">
        <f>D33+D49+D64</f>
        <v>704.43696037296036</v>
      </c>
      <c r="E81" s="75"/>
      <c r="F81" t="s">
        <v>366</v>
      </c>
      <c r="G81" s="8">
        <f>E75/(G13-G16)</f>
        <v>704.43696037296047</v>
      </c>
      <c r="H81" s="55" t="s">
        <v>363</v>
      </c>
    </row>
    <row r="82" spans="1:8" x14ac:dyDescent="0.25">
      <c r="A82" s="72" t="s">
        <v>91</v>
      </c>
      <c r="B82" s="64"/>
      <c r="C82" s="65">
        <f>C81/B81-1</f>
        <v>5.357575757575761E-2</v>
      </c>
      <c r="D82" s="65">
        <f>D81/C81-1</f>
        <v>5.357575757575761E-2</v>
      </c>
      <c r="E82" s="73"/>
    </row>
    <row r="83" spans="1:8" x14ac:dyDescent="0.25">
      <c r="A83" s="74" t="s">
        <v>132</v>
      </c>
      <c r="B83" s="62">
        <f>C73/B81</f>
        <v>7.0909090909090908E-2</v>
      </c>
      <c r="C83" s="62">
        <f>D73/C81</f>
        <v>7.0909090909090908E-2</v>
      </c>
      <c r="D83" s="62">
        <f>E73/D81</f>
        <v>7.0909090909090922E-2</v>
      </c>
      <c r="E83" s="76"/>
    </row>
    <row r="84" spans="1:8" x14ac:dyDescent="0.25">
      <c r="A84" s="72" t="s">
        <v>98</v>
      </c>
      <c r="B84" s="65">
        <f>C75/B81</f>
        <v>5.6727272727272723E-2</v>
      </c>
      <c r="C84" s="65">
        <f>D75/C81</f>
        <v>5.6727272727272737E-2</v>
      </c>
      <c r="D84" s="65">
        <f>E75/D81</f>
        <v>5.6727272727272737E-2</v>
      </c>
      <c r="E84" s="78"/>
    </row>
    <row r="85" spans="1:8" x14ac:dyDescent="0.25">
      <c r="A85" s="112" t="s">
        <v>214</v>
      </c>
      <c r="B85" s="113">
        <f>B79/B77</f>
        <v>0.49230769230769228</v>
      </c>
      <c r="C85" s="113">
        <f>C79/C77</f>
        <v>0.49230769230769228</v>
      </c>
      <c r="D85" s="113">
        <f>D79/D77</f>
        <v>0.49230769230769228</v>
      </c>
      <c r="E85" s="114"/>
    </row>
    <row r="86" spans="1:8" ht="13.8" thickBot="1" x14ac:dyDescent="0.3">
      <c r="A86" s="79" t="s">
        <v>97</v>
      </c>
      <c r="B86" s="80">
        <f>-B81</f>
        <v>-634.61538461538464</v>
      </c>
      <c r="C86" s="80">
        <f>C75</f>
        <v>36</v>
      </c>
      <c r="D86" s="80">
        <f>D75+D81</f>
        <v>742.36568764568767</v>
      </c>
      <c r="E86" s="81" t="s">
        <v>133</v>
      </c>
      <c r="F86" s="82">
        <f>IRR(B86:D86)</f>
        <v>0.11030303030303035</v>
      </c>
    </row>
  </sheetData>
  <phoneticPr fontId="2"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8"/>
  <sheetViews>
    <sheetView workbookViewId="0"/>
  </sheetViews>
  <sheetFormatPr defaultRowHeight="13.2" x14ac:dyDescent="0.25"/>
  <cols>
    <col min="1" max="1" width="47.33203125" customWidth="1"/>
    <col min="2" max="2" width="10.88671875" customWidth="1"/>
    <col min="3" max="3" width="9.88671875" customWidth="1"/>
    <col min="4" max="4" width="9.6640625" customWidth="1"/>
    <col min="6" max="6" width="32.5546875" customWidth="1"/>
    <col min="8" max="8" width="7" customWidth="1"/>
    <col min="10" max="10" width="10.44140625" customWidth="1"/>
  </cols>
  <sheetData>
    <row r="1" spans="1:11" x14ac:dyDescent="0.25">
      <c r="A1" s="93" t="s">
        <v>176</v>
      </c>
    </row>
    <row r="2" spans="1:11" x14ac:dyDescent="0.25">
      <c r="A2" t="s">
        <v>173</v>
      </c>
    </row>
    <row r="3" spans="1:11" x14ac:dyDescent="0.25">
      <c r="A3" t="s">
        <v>174</v>
      </c>
    </row>
    <row r="4" spans="1:11" x14ac:dyDescent="0.25">
      <c r="A4" s="257" t="s">
        <v>412</v>
      </c>
    </row>
    <row r="5" spans="1:11" x14ac:dyDescent="0.25">
      <c r="A5" t="s">
        <v>365</v>
      </c>
    </row>
    <row r="6" spans="1:11" ht="13.8" thickBot="1" x14ac:dyDescent="0.3"/>
    <row r="7" spans="1:11" x14ac:dyDescent="0.25">
      <c r="A7" s="92" t="s">
        <v>108</v>
      </c>
      <c r="B7" s="39"/>
      <c r="F7" s="94" t="s">
        <v>109</v>
      </c>
      <c r="G7" s="47"/>
      <c r="H7" s="47"/>
      <c r="I7" s="47" t="s">
        <v>251</v>
      </c>
      <c r="J7" s="47"/>
      <c r="K7" s="48"/>
    </row>
    <row r="8" spans="1:11" x14ac:dyDescent="0.25">
      <c r="A8" s="139" t="s">
        <v>264</v>
      </c>
      <c r="B8" s="44"/>
      <c r="F8" s="49" t="s">
        <v>100</v>
      </c>
      <c r="G8" s="50">
        <f>C24/B33</f>
        <v>6.8000000000000005E-2</v>
      </c>
      <c r="H8" s="54" t="s">
        <v>167</v>
      </c>
      <c r="I8" s="51"/>
      <c r="J8" s="51"/>
      <c r="K8" s="52"/>
    </row>
    <row r="9" spans="1:11" x14ac:dyDescent="0.25">
      <c r="A9" s="40" t="s">
        <v>61</v>
      </c>
      <c r="B9" s="41">
        <f>Analyzer!B3</f>
        <v>100</v>
      </c>
      <c r="F9" s="49" t="s">
        <v>99</v>
      </c>
      <c r="G9" s="50">
        <f>B38</f>
        <v>7.0909090909090908E-2</v>
      </c>
      <c r="H9" s="54" t="s">
        <v>164</v>
      </c>
      <c r="I9" s="51" t="s">
        <v>296</v>
      </c>
      <c r="J9" s="51"/>
      <c r="K9" s="52"/>
    </row>
    <row r="10" spans="1:11" x14ac:dyDescent="0.25">
      <c r="A10" s="40" t="s">
        <v>62</v>
      </c>
      <c r="B10" s="43">
        <f>Analyzer!B4</f>
        <v>0.15</v>
      </c>
      <c r="F10" s="49" t="s">
        <v>101</v>
      </c>
      <c r="G10" s="50">
        <f>C119</f>
        <v>5.6727272727272723E-2</v>
      </c>
      <c r="H10" s="54" t="s">
        <v>165</v>
      </c>
      <c r="I10" s="51" t="s">
        <v>103</v>
      </c>
      <c r="J10" s="51"/>
      <c r="K10" s="52"/>
    </row>
    <row r="11" spans="1:11" x14ac:dyDescent="0.25">
      <c r="A11" s="40" t="s">
        <v>64</v>
      </c>
      <c r="B11" s="43">
        <f>Analyzer!B5</f>
        <v>0.02</v>
      </c>
      <c r="F11" s="49" t="s">
        <v>94</v>
      </c>
      <c r="G11" s="50">
        <f>IRR(B26:D26)</f>
        <v>8.7999999999999856E-2</v>
      </c>
      <c r="H11" s="54" t="s">
        <v>168</v>
      </c>
      <c r="I11" s="51"/>
      <c r="J11" s="51"/>
      <c r="K11" s="52"/>
    </row>
    <row r="12" spans="1:11" x14ac:dyDescent="0.25">
      <c r="A12" s="40" t="s">
        <v>102</v>
      </c>
      <c r="B12" s="43">
        <f>Analyzer!B6</f>
        <v>0.08</v>
      </c>
      <c r="F12" s="49" t="s">
        <v>95</v>
      </c>
      <c r="G12" s="50">
        <f>IRR(B36:D36)</f>
        <v>0.11030303030303013</v>
      </c>
      <c r="H12" s="95" t="s">
        <v>169</v>
      </c>
      <c r="I12" s="51" t="s">
        <v>296</v>
      </c>
      <c r="J12" s="51"/>
      <c r="K12" s="52"/>
    </row>
    <row r="13" spans="1:11" x14ac:dyDescent="0.25">
      <c r="A13" s="40" t="s">
        <v>63</v>
      </c>
      <c r="B13" s="43">
        <f>Analyzer!B7</f>
        <v>6.5000000000000002E-2</v>
      </c>
      <c r="F13" s="49" t="s">
        <v>96</v>
      </c>
      <c r="G13" s="50">
        <f>IRR(B124:D124)</f>
        <v>0.11030303030303013</v>
      </c>
      <c r="H13" s="54" t="s">
        <v>170</v>
      </c>
      <c r="I13" s="51"/>
      <c r="J13" s="51"/>
      <c r="K13" s="52"/>
    </row>
    <row r="14" spans="1:11" x14ac:dyDescent="0.25">
      <c r="A14" s="141" t="s">
        <v>134</v>
      </c>
      <c r="B14" s="183">
        <f>Analyzer!B8</f>
        <v>10</v>
      </c>
      <c r="F14" s="49" t="s">
        <v>104</v>
      </c>
      <c r="G14" s="50">
        <f>G11-G8</f>
        <v>1.9999999999999851E-2</v>
      </c>
      <c r="H14" s="54" t="s">
        <v>171</v>
      </c>
      <c r="I14" s="51"/>
      <c r="J14" s="51"/>
      <c r="K14" s="52"/>
    </row>
    <row r="15" spans="1:11" x14ac:dyDescent="0.25">
      <c r="A15" s="139" t="s">
        <v>265</v>
      </c>
      <c r="B15" s="44"/>
      <c r="F15" s="49" t="s">
        <v>105</v>
      </c>
      <c r="G15" s="50">
        <f>G12-G9</f>
        <v>3.9393939393939217E-2</v>
      </c>
      <c r="H15" s="54" t="s">
        <v>166</v>
      </c>
      <c r="I15" s="51" t="s">
        <v>296</v>
      </c>
      <c r="J15" s="51"/>
      <c r="K15" s="52"/>
    </row>
    <row r="16" spans="1:11" x14ac:dyDescent="0.25">
      <c r="A16" s="40" t="s">
        <v>266</v>
      </c>
      <c r="B16" s="44">
        <f>Analyzer!B11</f>
        <v>2.5</v>
      </c>
      <c r="C16" t="s">
        <v>267</v>
      </c>
      <c r="F16" s="49" t="s">
        <v>156</v>
      </c>
      <c r="G16" s="50">
        <f>G13-G10</f>
        <v>5.3575757575757402E-2</v>
      </c>
      <c r="H16" s="54" t="s">
        <v>172</v>
      </c>
      <c r="I16" s="111">
        <f>G15+B17*G9</f>
        <v>5.3575757575757402E-2</v>
      </c>
      <c r="J16" s="54" t="s">
        <v>110</v>
      </c>
      <c r="K16" s="52" t="s">
        <v>215</v>
      </c>
    </row>
    <row r="17" spans="1:11" x14ac:dyDescent="0.25">
      <c r="A17" s="40" t="s">
        <v>111</v>
      </c>
      <c r="B17" s="44">
        <f>Analyzer!B12</f>
        <v>0.2</v>
      </c>
      <c r="C17" t="s">
        <v>338</v>
      </c>
      <c r="F17" s="49" t="s">
        <v>157</v>
      </c>
      <c r="G17" s="50">
        <f>D107</f>
        <v>0.26429090909090935</v>
      </c>
      <c r="H17" s="51"/>
      <c r="I17" s="51"/>
      <c r="J17" s="51"/>
      <c r="K17" s="52"/>
    </row>
    <row r="18" spans="1:11" ht="13.8" thickBot="1" x14ac:dyDescent="0.3">
      <c r="A18" s="45" t="s">
        <v>135</v>
      </c>
      <c r="B18" s="43">
        <f>Analyzer!B13</f>
        <v>0.2</v>
      </c>
      <c r="F18" s="49" t="s">
        <v>158</v>
      </c>
      <c r="G18" s="50">
        <f>D115</f>
        <v>0.26429090909090913</v>
      </c>
      <c r="H18" s="51"/>
      <c r="I18" s="51"/>
      <c r="J18" s="51"/>
      <c r="K18" s="52"/>
    </row>
    <row r="19" spans="1:11" x14ac:dyDescent="0.25">
      <c r="F19" s="49" t="s">
        <v>161</v>
      </c>
      <c r="G19" s="96">
        <f>B122</f>
        <v>0.49230769230769228</v>
      </c>
      <c r="H19" s="51"/>
      <c r="I19" s="51"/>
      <c r="J19" s="51"/>
      <c r="K19" s="52"/>
    </row>
    <row r="20" spans="1:11" ht="13.8" thickBot="1" x14ac:dyDescent="0.3">
      <c r="A20" s="60" t="s">
        <v>117</v>
      </c>
      <c r="F20" s="97" t="s">
        <v>162</v>
      </c>
      <c r="G20" s="98">
        <f>C123</f>
        <v>2.5</v>
      </c>
      <c r="H20" s="99"/>
      <c r="I20" s="99"/>
      <c r="J20" s="99"/>
      <c r="K20" s="100"/>
    </row>
    <row r="21" spans="1:11" x14ac:dyDescent="0.25">
      <c r="A21" s="1" t="s">
        <v>89</v>
      </c>
      <c r="B21">
        <v>0</v>
      </c>
      <c r="C21">
        <v>1</v>
      </c>
      <c r="D21">
        <v>2</v>
      </c>
      <c r="E21">
        <v>3</v>
      </c>
    </row>
    <row r="22" spans="1:11" s="8" customFormat="1" x14ac:dyDescent="0.25">
      <c r="A22" s="21" t="s">
        <v>118</v>
      </c>
      <c r="B22" s="21"/>
      <c r="C22" s="21">
        <f>B9</f>
        <v>100</v>
      </c>
      <c r="D22" s="21">
        <f>(1+$B$11)*C22</f>
        <v>102</v>
      </c>
      <c r="E22" s="21">
        <f>(1+$B$11)*D22</f>
        <v>104.04</v>
      </c>
    </row>
    <row r="23" spans="1:11" s="8" customFormat="1" x14ac:dyDescent="0.25">
      <c r="A23" s="22" t="s">
        <v>119</v>
      </c>
      <c r="B23" s="22"/>
      <c r="C23" s="22">
        <f>$B$10*C22</f>
        <v>15</v>
      </c>
      <c r="D23" s="22">
        <f>$B$10*D22</f>
        <v>15.299999999999999</v>
      </c>
      <c r="E23" s="22">
        <f>$B$10*E22</f>
        <v>15.606</v>
      </c>
    </row>
    <row r="24" spans="1:11" s="8" customFormat="1" x14ac:dyDescent="0.25">
      <c r="A24" s="21" t="s">
        <v>65</v>
      </c>
      <c r="B24" s="21"/>
      <c r="C24" s="21">
        <f>C22-C23</f>
        <v>85</v>
      </c>
      <c r="D24" s="21">
        <f>D22-D23</f>
        <v>86.7</v>
      </c>
      <c r="E24" s="21">
        <f>E22-E23</f>
        <v>88.434000000000012</v>
      </c>
    </row>
    <row r="25" spans="1:11" s="8" customFormat="1" x14ac:dyDescent="0.25">
      <c r="A25" s="21" t="s">
        <v>66</v>
      </c>
      <c r="B25" s="21"/>
      <c r="C25" s="21"/>
      <c r="D25" s="21">
        <f>E22/$B$12</f>
        <v>1300.5</v>
      </c>
      <c r="E25" s="21"/>
    </row>
    <row r="26" spans="1:11" s="8" customFormat="1" x14ac:dyDescent="0.25">
      <c r="A26" s="21" t="s">
        <v>120</v>
      </c>
      <c r="B26" s="21">
        <f>-C22/B12</f>
        <v>-1250</v>
      </c>
      <c r="C26" s="21">
        <f>SUM(C24:C25)</f>
        <v>85</v>
      </c>
      <c r="D26" s="21">
        <f>SUM(D24:D25)</f>
        <v>1387.2</v>
      </c>
      <c r="E26" s="21"/>
    </row>
    <row r="27" spans="1:11" s="8" customFormat="1" x14ac:dyDescent="0.25">
      <c r="A27" s="21"/>
      <c r="B27" s="21"/>
      <c r="C27" s="21"/>
      <c r="D27" s="21"/>
      <c r="E27" s="21"/>
    </row>
    <row r="28" spans="1:11" s="8" customFormat="1" x14ac:dyDescent="0.25">
      <c r="A28" s="22" t="s">
        <v>121</v>
      </c>
      <c r="B28" s="22"/>
      <c r="C28" s="22">
        <f>C22/$B$16</f>
        <v>40</v>
      </c>
      <c r="D28" s="22">
        <f>D22/$B$16</f>
        <v>40.799999999999997</v>
      </c>
      <c r="E28" s="22">
        <f>E22/$B$16</f>
        <v>41.616</v>
      </c>
    </row>
    <row r="29" spans="1:11" x14ac:dyDescent="0.25">
      <c r="A29" s="21" t="s">
        <v>122</v>
      </c>
      <c r="B29" s="23"/>
      <c r="C29" s="21">
        <f>C22-C28-C23</f>
        <v>45</v>
      </c>
      <c r="D29" s="21">
        <f>D22-D28-D23</f>
        <v>45.900000000000006</v>
      </c>
      <c r="E29" s="21">
        <f>E22-E28-E23</f>
        <v>46.818000000000005</v>
      </c>
    </row>
    <row r="30" spans="1:11" x14ac:dyDescent="0.25">
      <c r="A30" s="21" t="s">
        <v>123</v>
      </c>
      <c r="B30" s="23"/>
      <c r="C30" s="21">
        <f>(1-$B$17)*C29</f>
        <v>36</v>
      </c>
      <c r="D30" s="21">
        <f>(1-$B$17)*D29</f>
        <v>36.720000000000006</v>
      </c>
      <c r="E30" s="21">
        <f>(1-$B$17)*E29</f>
        <v>37.454400000000007</v>
      </c>
    </row>
    <row r="31" spans="1:11" x14ac:dyDescent="0.25">
      <c r="A31" s="21" t="s">
        <v>124</v>
      </c>
      <c r="B31" s="23"/>
      <c r="C31" s="21">
        <f>$B$17*C29</f>
        <v>9</v>
      </c>
      <c r="D31" s="21">
        <f>$B$17*D29</f>
        <v>9.1800000000000015</v>
      </c>
      <c r="E31" s="21">
        <f>$B$17*E29</f>
        <v>9.3636000000000017</v>
      </c>
    </row>
    <row r="32" spans="1:11" x14ac:dyDescent="0.25">
      <c r="A32" s="23"/>
      <c r="B32" s="23"/>
      <c r="C32" s="23"/>
      <c r="D32" s="23"/>
      <c r="E32" s="23"/>
    </row>
    <row r="33" spans="1:5" x14ac:dyDescent="0.25">
      <c r="A33" s="21" t="s">
        <v>125</v>
      </c>
      <c r="B33" s="21">
        <f>C22/$B$12</f>
        <v>1250</v>
      </c>
      <c r="C33" s="21">
        <f>D22/$B$12</f>
        <v>1275</v>
      </c>
      <c r="D33" s="21">
        <f>E22/$B$12</f>
        <v>1300.5</v>
      </c>
      <c r="E33" s="21"/>
    </row>
    <row r="34" spans="1:5" x14ac:dyDescent="0.25">
      <c r="A34" s="22" t="s">
        <v>126</v>
      </c>
      <c r="B34" s="22">
        <f>C28/$B$13</f>
        <v>615.38461538461536</v>
      </c>
      <c r="C34" s="22">
        <f>D28/$B$13</f>
        <v>627.69230769230762</v>
      </c>
      <c r="D34" s="22">
        <f>E28/$B$13</f>
        <v>640.24615384615379</v>
      </c>
      <c r="E34" s="22"/>
    </row>
    <row r="35" spans="1:5" x14ac:dyDescent="0.25">
      <c r="A35" s="21" t="s">
        <v>127</v>
      </c>
      <c r="B35" s="21">
        <f>B33-B34</f>
        <v>634.61538461538464</v>
      </c>
      <c r="C35" s="21">
        <f>C33-C34</f>
        <v>647.30769230769238</v>
      </c>
      <c r="D35" s="21">
        <f>D33-D34</f>
        <v>660.25384615384621</v>
      </c>
      <c r="E35" s="21"/>
    </row>
    <row r="36" spans="1:5" x14ac:dyDescent="0.25">
      <c r="A36" s="21" t="s">
        <v>93</v>
      </c>
      <c r="B36" s="21">
        <f>-B35</f>
        <v>-634.61538461538464</v>
      </c>
      <c r="C36" s="21">
        <f>C29+C34-B34</f>
        <v>57.307692307692264</v>
      </c>
      <c r="D36" s="21">
        <f>D29+D34-C34+D35</f>
        <v>718.70769230769235</v>
      </c>
      <c r="E36" s="21"/>
    </row>
    <row r="37" spans="1:5" x14ac:dyDescent="0.25">
      <c r="A37" s="23"/>
      <c r="B37" s="23"/>
      <c r="C37" s="23"/>
      <c r="D37" s="23"/>
      <c r="E37" s="23"/>
    </row>
    <row r="38" spans="1:5" x14ac:dyDescent="0.25">
      <c r="A38" s="21" t="s">
        <v>128</v>
      </c>
      <c r="B38" s="24">
        <f>C29/B35</f>
        <v>7.0909090909090908E-2</v>
      </c>
      <c r="C38" s="24">
        <f>D29/C35</f>
        <v>7.0909090909090908E-2</v>
      </c>
      <c r="D38" s="24">
        <f>E29/D35</f>
        <v>7.0909090909090908E-2</v>
      </c>
      <c r="E38" s="24"/>
    </row>
    <row r="39" spans="1:5" x14ac:dyDescent="0.25">
      <c r="A39" s="21" t="s">
        <v>129</v>
      </c>
      <c r="B39" s="24">
        <f>C30/B35</f>
        <v>5.6727272727272723E-2</v>
      </c>
      <c r="C39" s="24">
        <f>D30/C35</f>
        <v>5.672727272727273E-2</v>
      </c>
      <c r="D39" s="24">
        <f>E30/D35</f>
        <v>5.672727272727273E-2</v>
      </c>
      <c r="E39" s="24"/>
    </row>
    <row r="41" spans="1:5" x14ac:dyDescent="0.25">
      <c r="A41" s="25" t="s">
        <v>226</v>
      </c>
      <c r="B41" s="26"/>
      <c r="C41" s="26"/>
      <c r="D41" s="26"/>
      <c r="E41" s="26"/>
    </row>
    <row r="42" spans="1:5" x14ac:dyDescent="0.25">
      <c r="A42" s="27" t="s">
        <v>67</v>
      </c>
      <c r="B42" s="28"/>
      <c r="C42" s="28"/>
      <c r="D42" s="27">
        <f>C49*$B$12</f>
        <v>3.3575757575757503</v>
      </c>
      <c r="E42" s="27">
        <f>(1+$B$11)*D42</f>
        <v>3.4247272727272655</v>
      </c>
    </row>
    <row r="43" spans="1:5" x14ac:dyDescent="0.25">
      <c r="A43" s="27" t="s">
        <v>68</v>
      </c>
      <c r="B43" s="28"/>
      <c r="C43" s="28"/>
      <c r="D43" s="27">
        <f>$B$10*D42</f>
        <v>0.50363636363636255</v>
      </c>
      <c r="E43" s="27">
        <f>$B$10*E42</f>
        <v>0.51370909090908978</v>
      </c>
    </row>
    <row r="44" spans="1:5" x14ac:dyDescent="0.25">
      <c r="A44" s="29" t="s">
        <v>69</v>
      </c>
      <c r="B44" s="26"/>
      <c r="C44" s="26"/>
      <c r="D44" s="29">
        <f>C50*$B$13</f>
        <v>1.3430303030303001</v>
      </c>
      <c r="E44" s="29">
        <f>E42/$B$16</f>
        <v>1.3698909090909062</v>
      </c>
    </row>
    <row r="45" spans="1:5" x14ac:dyDescent="0.25">
      <c r="A45" s="25" t="s">
        <v>70</v>
      </c>
      <c r="B45" s="26"/>
      <c r="C45" s="26"/>
      <c r="D45" s="25">
        <f>D42-D43-D44</f>
        <v>1.5109090909090876</v>
      </c>
      <c r="E45" s="25">
        <f>E42-E43-E44</f>
        <v>1.5411272727272698</v>
      </c>
    </row>
    <row r="46" spans="1:5" x14ac:dyDescent="0.25">
      <c r="A46" s="25" t="s">
        <v>71</v>
      </c>
      <c r="B46" s="26"/>
      <c r="C46" s="26"/>
      <c r="D46" s="25">
        <f>(1-$B$17)*D45</f>
        <v>1.2087272727272702</v>
      </c>
      <c r="E46" s="25">
        <f>(1-$B$17)*E45</f>
        <v>1.2329018181818159</v>
      </c>
    </row>
    <row r="47" spans="1:5" x14ac:dyDescent="0.25">
      <c r="A47" s="25" t="s">
        <v>72</v>
      </c>
      <c r="B47" s="26"/>
      <c r="C47" s="26"/>
      <c r="D47" s="25">
        <f>$B$17*D45</f>
        <v>0.30218181818181755</v>
      </c>
      <c r="E47" s="25">
        <f>$B$17*E45</f>
        <v>0.30822545454545397</v>
      </c>
    </row>
    <row r="48" spans="1:5" x14ac:dyDescent="0.25">
      <c r="A48" s="26"/>
      <c r="B48" s="26"/>
      <c r="C48" s="26"/>
      <c r="D48" s="26"/>
      <c r="E48" s="26"/>
    </row>
    <row r="49" spans="1:6" x14ac:dyDescent="0.25">
      <c r="A49" s="25" t="s">
        <v>142</v>
      </c>
      <c r="B49" s="26"/>
      <c r="C49" s="25">
        <f>(C33/C35)*(C31+(C34-B34))</f>
        <v>41.969696969696876</v>
      </c>
      <c r="D49" s="25">
        <f>E42/$B$12</f>
        <v>42.80909090909082</v>
      </c>
      <c r="E49" s="25"/>
      <c r="F49" t="s">
        <v>242</v>
      </c>
    </row>
    <row r="50" spans="1:6" x14ac:dyDescent="0.25">
      <c r="A50" s="29" t="s">
        <v>143</v>
      </c>
      <c r="B50" s="26"/>
      <c r="C50" s="29">
        <f>(C34/C33)*C49</f>
        <v>20.662004662004616</v>
      </c>
      <c r="D50" s="29">
        <f>E44/$B$13</f>
        <v>21.075244755244711</v>
      </c>
      <c r="E50" s="29"/>
    </row>
    <row r="51" spans="1:6" x14ac:dyDescent="0.25">
      <c r="A51" s="25" t="s">
        <v>144</v>
      </c>
      <c r="B51" s="26"/>
      <c r="C51" s="25">
        <f>C49-C50</f>
        <v>21.30769230769226</v>
      </c>
      <c r="D51" s="25">
        <f>D49-D50</f>
        <v>21.733846153846109</v>
      </c>
      <c r="E51" s="25"/>
    </row>
    <row r="52" spans="1:6" x14ac:dyDescent="0.25">
      <c r="A52" s="26"/>
      <c r="B52" s="26"/>
      <c r="C52" s="26"/>
      <c r="D52" s="26"/>
      <c r="E52" s="26"/>
    </row>
    <row r="53" spans="1:6" x14ac:dyDescent="0.25">
      <c r="A53" s="25" t="s">
        <v>136</v>
      </c>
      <c r="B53" s="26"/>
      <c r="C53" s="26"/>
      <c r="D53" s="26"/>
      <c r="E53" s="26"/>
    </row>
    <row r="54" spans="1:6" x14ac:dyDescent="0.25">
      <c r="A54" s="27" t="s">
        <v>67</v>
      </c>
      <c r="B54" s="28"/>
      <c r="C54" s="28"/>
      <c r="D54" s="27">
        <f>C61*$B$12</f>
        <v>21.07151515151515</v>
      </c>
      <c r="E54" s="27">
        <f>(1+$B$11)*D54</f>
        <v>21.492945454545453</v>
      </c>
    </row>
    <row r="55" spans="1:6" x14ac:dyDescent="0.25">
      <c r="A55" s="27" t="s">
        <v>68</v>
      </c>
      <c r="B55" s="28"/>
      <c r="C55" s="28"/>
      <c r="D55" s="27">
        <f>$B$10*D54</f>
        <v>3.1607272727272724</v>
      </c>
      <c r="E55" s="27">
        <f>$B$10*E54</f>
        <v>3.2239418181818178</v>
      </c>
    </row>
    <row r="56" spans="1:6" x14ac:dyDescent="0.25">
      <c r="A56" s="29" t="s">
        <v>69</v>
      </c>
      <c r="B56" s="26"/>
      <c r="C56" s="26"/>
      <c r="D56" s="29">
        <f>C62*$B$13</f>
        <v>8.4286060606060609</v>
      </c>
      <c r="E56" s="29">
        <f>E54/$B$16</f>
        <v>8.5971781818181814</v>
      </c>
    </row>
    <row r="57" spans="1:6" x14ac:dyDescent="0.25">
      <c r="A57" s="25" t="s">
        <v>70</v>
      </c>
      <c r="B57" s="26"/>
      <c r="C57" s="26"/>
      <c r="D57" s="25">
        <f>D54-D55-D56</f>
        <v>9.482181818181818</v>
      </c>
      <c r="E57" s="25">
        <f>E54-E55-E56</f>
        <v>9.6718254545454538</v>
      </c>
    </row>
    <row r="58" spans="1:6" x14ac:dyDescent="0.25">
      <c r="A58" s="25" t="s">
        <v>71</v>
      </c>
      <c r="B58" s="26"/>
      <c r="C58" s="26"/>
      <c r="D58" s="25">
        <f>(1-$B$17)*D57</f>
        <v>7.5857454545454548</v>
      </c>
      <c r="E58" s="25">
        <f>(1-$B$17)*E57</f>
        <v>7.7374603636363632</v>
      </c>
    </row>
    <row r="59" spans="1:6" x14ac:dyDescent="0.25">
      <c r="A59" s="25" t="s">
        <v>72</v>
      </c>
      <c r="B59" s="26"/>
      <c r="C59" s="26"/>
      <c r="D59" s="25">
        <f>$B$17*D57</f>
        <v>1.8964363636363637</v>
      </c>
      <c r="E59" s="25">
        <f>$B$17*E57</f>
        <v>1.9343650909090908</v>
      </c>
    </row>
    <row r="60" spans="1:6" x14ac:dyDescent="0.25">
      <c r="A60" s="26"/>
      <c r="B60" s="26"/>
      <c r="C60" s="26"/>
      <c r="D60" s="26"/>
      <c r="E60" s="26"/>
    </row>
    <row r="61" spans="1:6" x14ac:dyDescent="0.25">
      <c r="A61" s="25" t="s">
        <v>145</v>
      </c>
      <c r="B61" s="26"/>
      <c r="C61" s="25">
        <f>(C33/C35)*($B$18*C92)*C111</f>
        <v>263.39393939393938</v>
      </c>
      <c r="D61" s="25">
        <f>E54/$B$12</f>
        <v>268.66181818181815</v>
      </c>
      <c r="E61" s="25"/>
    </row>
    <row r="62" spans="1:6" x14ac:dyDescent="0.25">
      <c r="A62" s="29" t="s">
        <v>146</v>
      </c>
      <c r="B62" s="26"/>
      <c r="C62" s="29">
        <f>(C34/C33)*C61</f>
        <v>129.67086247086246</v>
      </c>
      <c r="D62" s="29">
        <f>E56/$B$13</f>
        <v>132.26427972027972</v>
      </c>
      <c r="E62" s="29"/>
    </row>
    <row r="63" spans="1:6" x14ac:dyDescent="0.25">
      <c r="A63" s="25" t="s">
        <v>147</v>
      </c>
      <c r="B63" s="26"/>
      <c r="C63" s="25">
        <f>C61-C62</f>
        <v>133.72307692307692</v>
      </c>
      <c r="D63" s="25">
        <f>D61-D62</f>
        <v>136.39753846153843</v>
      </c>
      <c r="E63" s="25"/>
    </row>
    <row r="65" spans="1:5" x14ac:dyDescent="0.25">
      <c r="A65" s="31" t="s">
        <v>130</v>
      </c>
      <c r="B65" s="32"/>
      <c r="C65" s="32"/>
      <c r="D65" s="32"/>
      <c r="E65" s="32"/>
    </row>
    <row r="66" spans="1:5" x14ac:dyDescent="0.25">
      <c r="A66" s="33" t="s">
        <v>78</v>
      </c>
      <c r="B66" s="34"/>
      <c r="C66" s="34"/>
      <c r="D66" s="34"/>
      <c r="E66" s="33">
        <f>D73*$B$12</f>
        <v>4.2449525068870555</v>
      </c>
    </row>
    <row r="67" spans="1:5" x14ac:dyDescent="0.25">
      <c r="A67" s="33" t="s">
        <v>79</v>
      </c>
      <c r="B67" s="34"/>
      <c r="C67" s="34"/>
      <c r="D67" s="34"/>
      <c r="E67" s="33">
        <f>$B$10*E66</f>
        <v>0.63674287603305835</v>
      </c>
    </row>
    <row r="68" spans="1:5" x14ac:dyDescent="0.25">
      <c r="A68" s="35" t="s">
        <v>80</v>
      </c>
      <c r="B68" s="34"/>
      <c r="C68" s="34"/>
      <c r="D68" s="32"/>
      <c r="E68" s="35">
        <f>D74*$B$13</f>
        <v>1.6979810027548223</v>
      </c>
    </row>
    <row r="69" spans="1:5" x14ac:dyDescent="0.25">
      <c r="A69" s="31" t="s">
        <v>81</v>
      </c>
      <c r="B69" s="34"/>
      <c r="C69" s="34"/>
      <c r="D69" s="32"/>
      <c r="E69" s="31">
        <f>E66-E67-E68</f>
        <v>1.9102286280991747</v>
      </c>
    </row>
    <row r="70" spans="1:5" x14ac:dyDescent="0.25">
      <c r="A70" s="31" t="s">
        <v>82</v>
      </c>
      <c r="B70" s="34"/>
      <c r="C70" s="34"/>
      <c r="D70" s="32"/>
      <c r="E70" s="31">
        <f>(1-$B$17)*E69</f>
        <v>1.5281829024793399</v>
      </c>
    </row>
    <row r="71" spans="1:5" x14ac:dyDescent="0.25">
      <c r="A71" s="31" t="s">
        <v>83</v>
      </c>
      <c r="B71" s="34"/>
      <c r="C71" s="34"/>
      <c r="D71" s="32"/>
      <c r="E71" s="31">
        <f>$B$17*E69</f>
        <v>0.38204572561983496</v>
      </c>
    </row>
    <row r="72" spans="1:5" x14ac:dyDescent="0.25">
      <c r="A72" s="32"/>
      <c r="B72" s="34"/>
      <c r="C72" s="34"/>
      <c r="D72" s="32"/>
      <c r="E72" s="32"/>
    </row>
    <row r="73" spans="1:5" x14ac:dyDescent="0.25">
      <c r="A73" s="31" t="s">
        <v>84</v>
      </c>
      <c r="B73" s="34"/>
      <c r="C73" s="33"/>
      <c r="D73" s="31">
        <f>(D33/D35)*(D31+D47+D59+(D34-C34)+(D50-C50)+(D62-C62))</f>
        <v>53.061906336088192</v>
      </c>
      <c r="E73" s="31"/>
    </row>
    <row r="74" spans="1:5" x14ac:dyDescent="0.25">
      <c r="A74" s="35" t="s">
        <v>85</v>
      </c>
      <c r="B74" s="34"/>
      <c r="C74" s="33"/>
      <c r="D74" s="35">
        <f>(D34/D33)*D73</f>
        <v>26.122784657766495</v>
      </c>
      <c r="E74" s="35"/>
    </row>
    <row r="75" spans="1:5" x14ac:dyDescent="0.25">
      <c r="A75" s="31" t="s">
        <v>86</v>
      </c>
      <c r="B75" s="34"/>
      <c r="C75" s="33"/>
      <c r="D75" s="31">
        <f>D73-D74</f>
        <v>26.939121678321698</v>
      </c>
      <c r="E75" s="31"/>
    </row>
    <row r="76" spans="1:5" x14ac:dyDescent="0.25">
      <c r="A76" s="32"/>
      <c r="B76" s="34"/>
      <c r="C76" s="34"/>
      <c r="D76" s="32"/>
      <c r="E76" s="32"/>
    </row>
    <row r="77" spans="1:5" x14ac:dyDescent="0.25">
      <c r="A77" s="31" t="s">
        <v>148</v>
      </c>
      <c r="B77" s="32"/>
      <c r="C77" s="32"/>
      <c r="D77" s="32"/>
      <c r="E77" s="32"/>
    </row>
    <row r="78" spans="1:5" x14ac:dyDescent="0.25">
      <c r="A78" s="33" t="s">
        <v>78</v>
      </c>
      <c r="B78" s="34"/>
      <c r="C78" s="34"/>
      <c r="D78" s="34"/>
      <c r="E78" s="33">
        <f>D85*$B$12</f>
        <v>26.640525046831957</v>
      </c>
    </row>
    <row r="79" spans="1:5" x14ac:dyDescent="0.25">
      <c r="A79" s="33" t="s">
        <v>79</v>
      </c>
      <c r="B79" s="34"/>
      <c r="C79" s="34"/>
      <c r="D79" s="34"/>
      <c r="E79" s="33">
        <f>$B$10*E78</f>
        <v>3.9960787570247933</v>
      </c>
    </row>
    <row r="80" spans="1:5" x14ac:dyDescent="0.25">
      <c r="A80" s="35" t="s">
        <v>80</v>
      </c>
      <c r="B80" s="34"/>
      <c r="C80" s="34"/>
      <c r="D80" s="32"/>
      <c r="E80" s="35">
        <f>D86*$B$13</f>
        <v>10.656210018732782</v>
      </c>
    </row>
    <row r="81" spans="1:5" x14ac:dyDescent="0.25">
      <c r="A81" s="31" t="s">
        <v>81</v>
      </c>
      <c r="B81" s="34"/>
      <c r="C81" s="34"/>
      <c r="D81" s="32"/>
      <c r="E81" s="31">
        <f>E78-E79-E80</f>
        <v>11.988236271074381</v>
      </c>
    </row>
    <row r="82" spans="1:5" x14ac:dyDescent="0.25">
      <c r="A82" s="31" t="s">
        <v>82</v>
      </c>
      <c r="B82" s="34"/>
      <c r="C82" s="34"/>
      <c r="D82" s="32"/>
      <c r="E82" s="31">
        <f>(1-$B$17)*E81</f>
        <v>9.5905890168595054</v>
      </c>
    </row>
    <row r="83" spans="1:5" x14ac:dyDescent="0.25">
      <c r="A83" s="31" t="s">
        <v>83</v>
      </c>
      <c r="B83" s="34"/>
      <c r="C83" s="34"/>
      <c r="D83" s="32"/>
      <c r="E83" s="31">
        <f>$B$17*E81</f>
        <v>2.3976472542148763</v>
      </c>
    </row>
    <row r="84" spans="1:5" x14ac:dyDescent="0.25">
      <c r="A84" s="32"/>
      <c r="B84" s="34"/>
      <c r="C84" s="34"/>
      <c r="D84" s="32"/>
      <c r="E84" s="32"/>
    </row>
    <row r="85" spans="1:5" x14ac:dyDescent="0.25">
      <c r="A85" s="31" t="s">
        <v>153</v>
      </c>
      <c r="B85" s="34"/>
      <c r="C85" s="33"/>
      <c r="D85" s="31">
        <f>(D33/D35)*($B$18*D92)*D111</f>
        <v>333.00656308539948</v>
      </c>
      <c r="E85" s="31"/>
    </row>
    <row r="86" spans="1:5" x14ac:dyDescent="0.25">
      <c r="A86" s="35" t="s">
        <v>154</v>
      </c>
      <c r="B86" s="34"/>
      <c r="C86" s="33"/>
      <c r="D86" s="35">
        <f>(D34/D33)*D85</f>
        <v>163.94169259588895</v>
      </c>
      <c r="E86" s="35"/>
    </row>
    <row r="87" spans="1:5" x14ac:dyDescent="0.25">
      <c r="A87" s="31" t="s">
        <v>155</v>
      </c>
      <c r="B87" s="34"/>
      <c r="C87" s="33"/>
      <c r="D87" s="31">
        <f>D85-D86</f>
        <v>169.06487048951053</v>
      </c>
      <c r="E87" s="31"/>
    </row>
    <row r="89" spans="1:5" ht="13.8" thickBot="1" x14ac:dyDescent="0.3">
      <c r="A89" s="38"/>
      <c r="B89" s="38"/>
      <c r="C89" s="38"/>
      <c r="D89" s="38"/>
      <c r="E89" s="38"/>
    </row>
    <row r="90" spans="1:5" ht="14.4" thickTop="1" thickBot="1" x14ac:dyDescent="0.3"/>
    <row r="91" spans="1:5" x14ac:dyDescent="0.25">
      <c r="A91" s="67" t="s">
        <v>131</v>
      </c>
      <c r="B91" s="68"/>
      <c r="C91" s="68"/>
      <c r="D91" s="68"/>
      <c r="E91" s="69"/>
    </row>
    <row r="92" spans="1:5" s="85" customFormat="1" x14ac:dyDescent="0.25">
      <c r="A92" s="83" t="s">
        <v>138</v>
      </c>
      <c r="B92" s="84"/>
      <c r="C92" s="86">
        <f>B93</f>
        <v>10</v>
      </c>
      <c r="D92" s="86">
        <f>C93</f>
        <v>12</v>
      </c>
      <c r="E92" s="88"/>
    </row>
    <row r="93" spans="1:5" s="85" customFormat="1" x14ac:dyDescent="0.25">
      <c r="A93" s="83" t="s">
        <v>137</v>
      </c>
      <c r="B93" s="86">
        <f>B14</f>
        <v>10</v>
      </c>
      <c r="C93" s="84">
        <f>(1+$B$18)*C92</f>
        <v>12</v>
      </c>
      <c r="D93" s="84">
        <f>(1+$B$18)*D92</f>
        <v>14.399999999999999</v>
      </c>
      <c r="E93" s="89"/>
    </row>
    <row r="94" spans="1:5" x14ac:dyDescent="0.25">
      <c r="A94" s="70" t="s">
        <v>90</v>
      </c>
      <c r="B94" s="59"/>
      <c r="C94" s="63">
        <f>C22+C42+C54+C66+C78</f>
        <v>100</v>
      </c>
      <c r="D94" s="63">
        <f>D22+D42+D54+D66+D78</f>
        <v>126.42909090909089</v>
      </c>
      <c r="E94" s="71">
        <f>E22+E42+E54+E66+E78</f>
        <v>159.84315028099172</v>
      </c>
    </row>
    <row r="95" spans="1:5" x14ac:dyDescent="0.25">
      <c r="A95" s="74" t="s">
        <v>91</v>
      </c>
      <c r="B95" s="60"/>
      <c r="C95" s="61"/>
      <c r="D95" s="62">
        <f>(D94/C94)-1</f>
        <v>0.26429090909090891</v>
      </c>
      <c r="E95" s="76">
        <f>(E94/D94)-1</f>
        <v>0.26429090909090913</v>
      </c>
    </row>
    <row r="96" spans="1:5" x14ac:dyDescent="0.25">
      <c r="A96" s="74" t="s">
        <v>149</v>
      </c>
      <c r="B96" s="60"/>
      <c r="C96" s="61">
        <f>C94/C92</f>
        <v>10</v>
      </c>
      <c r="D96" s="61">
        <f>D94/D92</f>
        <v>10.535757575757573</v>
      </c>
      <c r="E96" s="75">
        <f>E94/D93</f>
        <v>11.100218769513315</v>
      </c>
    </row>
    <row r="97" spans="1:6" x14ac:dyDescent="0.25">
      <c r="A97" s="72" t="s">
        <v>91</v>
      </c>
      <c r="B97" s="64"/>
      <c r="C97" s="64"/>
      <c r="D97" s="65">
        <f>(D96/C96)-1</f>
        <v>5.3575757575757388E-2</v>
      </c>
      <c r="E97" s="73">
        <f>(E96/D96)-1</f>
        <v>5.3575757575757832E-2</v>
      </c>
    </row>
    <row r="98" spans="1:6" x14ac:dyDescent="0.25">
      <c r="A98" s="74" t="s">
        <v>150</v>
      </c>
      <c r="B98" s="60"/>
      <c r="C98" s="61">
        <f>C29+C45+C57+C69+C81</f>
        <v>45</v>
      </c>
      <c r="D98" s="61">
        <f>D29+D45+D57+D69+D81</f>
        <v>56.893090909090915</v>
      </c>
      <c r="E98" s="75">
        <f>E29+E45+E57+E69+E81</f>
        <v>71.929417626446295</v>
      </c>
    </row>
    <row r="99" spans="1:6" x14ac:dyDescent="0.25">
      <c r="A99" s="74" t="s">
        <v>91</v>
      </c>
      <c r="B99" s="60"/>
      <c r="C99" s="61"/>
      <c r="D99" s="62">
        <f>(D98/C98)-1</f>
        <v>0.26429090909090913</v>
      </c>
      <c r="E99" s="76">
        <f>(E98/D98)-1</f>
        <v>0.26429090909090913</v>
      </c>
    </row>
    <row r="100" spans="1:6" x14ac:dyDescent="0.25">
      <c r="A100" s="74" t="s">
        <v>151</v>
      </c>
      <c r="B100" s="60"/>
      <c r="C100" s="61">
        <f>C98/C92</f>
        <v>4.5</v>
      </c>
      <c r="D100" s="61">
        <f>D98/D92</f>
        <v>4.7410909090909099</v>
      </c>
      <c r="E100" s="75">
        <f>E98/D93</f>
        <v>4.9950984462809931</v>
      </c>
    </row>
    <row r="101" spans="1:6" x14ac:dyDescent="0.25">
      <c r="A101" s="74" t="s">
        <v>91</v>
      </c>
      <c r="B101" s="60"/>
      <c r="C101" s="60"/>
      <c r="D101" s="62">
        <f>(D100/C100)-1</f>
        <v>5.3575757575757832E-2</v>
      </c>
      <c r="E101" s="76">
        <f>(E100/D100)-1</f>
        <v>5.357575757575761E-2</v>
      </c>
    </row>
    <row r="102" spans="1:6" x14ac:dyDescent="0.25">
      <c r="A102" s="70" t="s">
        <v>92</v>
      </c>
      <c r="B102" s="59"/>
      <c r="C102" s="63">
        <f>C30+C46+C58+C70+C82</f>
        <v>36</v>
      </c>
      <c r="D102" s="63">
        <f>D30+D46+D58+D70+D82</f>
        <v>45.514472727272732</v>
      </c>
      <c r="E102" s="71">
        <f>E30+E46+E58+E70+E82</f>
        <v>57.543534101157029</v>
      </c>
    </row>
    <row r="103" spans="1:6" x14ac:dyDescent="0.25">
      <c r="A103" s="74" t="s">
        <v>91</v>
      </c>
      <c r="B103" s="60"/>
      <c r="C103" s="61"/>
      <c r="D103" s="62">
        <f>(D102/C102)-1</f>
        <v>0.26429090909090913</v>
      </c>
      <c r="E103" s="76">
        <f>(E102/D102)-1</f>
        <v>0.26429090909090913</v>
      </c>
    </row>
    <row r="104" spans="1:6" x14ac:dyDescent="0.25">
      <c r="A104" s="74" t="s">
        <v>152</v>
      </c>
      <c r="B104" s="60"/>
      <c r="C104" s="61">
        <f>C102/C92</f>
        <v>3.6</v>
      </c>
      <c r="D104" s="61">
        <f>D102/D92</f>
        <v>3.7928727272727278</v>
      </c>
      <c r="E104" s="76">
        <f>E102/D93</f>
        <v>3.9960787570247942</v>
      </c>
    </row>
    <row r="105" spans="1:6" x14ac:dyDescent="0.25">
      <c r="A105" s="72" t="s">
        <v>91</v>
      </c>
      <c r="B105" s="64"/>
      <c r="C105" s="64"/>
      <c r="D105" s="65">
        <f>(D104/C104)-1</f>
        <v>5.357575757575761E-2</v>
      </c>
      <c r="E105" s="73">
        <f>(E104/D104)-1</f>
        <v>5.357575757575761E-2</v>
      </c>
    </row>
    <row r="106" spans="1:6" x14ac:dyDescent="0.25">
      <c r="A106" s="74" t="s">
        <v>159</v>
      </c>
      <c r="B106" s="61"/>
      <c r="C106" s="61">
        <f>C33+C49</f>
        <v>1316.9696969696968</v>
      </c>
      <c r="D106" s="61">
        <f>D33+D49+D61+D73</f>
        <v>1665.0328154269973</v>
      </c>
      <c r="E106" s="76"/>
    </row>
    <row r="107" spans="1:6" x14ac:dyDescent="0.25">
      <c r="A107" s="74" t="s">
        <v>91</v>
      </c>
      <c r="B107" s="60"/>
      <c r="C107" s="62"/>
      <c r="D107" s="62">
        <f>D106/C106-1</f>
        <v>0.26429090909090935</v>
      </c>
      <c r="E107" s="76"/>
    </row>
    <row r="108" spans="1:6" x14ac:dyDescent="0.25">
      <c r="A108" s="74" t="s">
        <v>160</v>
      </c>
      <c r="B108" s="60"/>
      <c r="C108" s="61">
        <f>C33+C49+C61</f>
        <v>1580.363636363636</v>
      </c>
      <c r="D108" s="61">
        <f>D33+D49+D61+D73+D85</f>
        <v>1998.0393785123968</v>
      </c>
      <c r="E108" s="76"/>
    </row>
    <row r="109" spans="1:6" x14ac:dyDescent="0.25">
      <c r="A109" s="72" t="s">
        <v>91</v>
      </c>
      <c r="B109" s="64"/>
      <c r="C109" s="65"/>
      <c r="D109" s="65">
        <f>D108/C108-1</f>
        <v>0.26429090909090935</v>
      </c>
      <c r="E109" s="73"/>
    </row>
    <row r="110" spans="1:6" x14ac:dyDescent="0.25">
      <c r="A110" s="74" t="s">
        <v>139</v>
      </c>
      <c r="B110" s="61">
        <f>B35+B51+B75</f>
        <v>634.61538461538464</v>
      </c>
      <c r="C110" s="61">
        <f>C35+C51</f>
        <v>668.61538461538464</v>
      </c>
      <c r="D110" s="61">
        <f>D35+D51+D63+D75</f>
        <v>845.32435244755243</v>
      </c>
      <c r="E110" s="75"/>
    </row>
    <row r="111" spans="1:6" x14ac:dyDescent="0.25">
      <c r="A111" s="74" t="s">
        <v>368</v>
      </c>
      <c r="B111" s="61">
        <f>B110/B93</f>
        <v>63.461538461538467</v>
      </c>
      <c r="C111" s="61">
        <f>C110/C92</f>
        <v>66.861538461538458</v>
      </c>
      <c r="D111" s="61">
        <f>D110/D92</f>
        <v>70.443696037296036</v>
      </c>
      <c r="E111" s="87"/>
      <c r="F111" t="s">
        <v>366</v>
      </c>
    </row>
    <row r="112" spans="1:6" x14ac:dyDescent="0.25">
      <c r="A112" s="74" t="s">
        <v>91</v>
      </c>
      <c r="B112" s="60"/>
      <c r="C112" s="62">
        <f>C111/B111-1</f>
        <v>5.3575757575757388E-2</v>
      </c>
      <c r="D112" s="62">
        <f>D111/C111-1</f>
        <v>5.357575757575761E-2</v>
      </c>
      <c r="E112" s="87"/>
    </row>
    <row r="113" spans="1:6" x14ac:dyDescent="0.25">
      <c r="A113" s="74" t="s">
        <v>218</v>
      </c>
      <c r="B113" s="185"/>
      <c r="C113" s="185"/>
      <c r="D113" s="185"/>
      <c r="E113" s="185"/>
    </row>
    <row r="114" spans="1:6" x14ac:dyDescent="0.25">
      <c r="A114" s="74" t="s">
        <v>140</v>
      </c>
      <c r="B114" s="61"/>
      <c r="C114" s="61">
        <f>C35+C51+C63</f>
        <v>802.33846153846162</v>
      </c>
      <c r="D114" s="61">
        <f>D35+D51+D63+D75+D87</f>
        <v>1014.389222937063</v>
      </c>
      <c r="E114" s="75"/>
    </row>
    <row r="115" spans="1:6" x14ac:dyDescent="0.25">
      <c r="A115" s="74" t="s">
        <v>91</v>
      </c>
      <c r="B115" s="61"/>
      <c r="C115" s="61"/>
      <c r="D115" s="62">
        <f>D114/C114-1</f>
        <v>0.26429090909090913</v>
      </c>
      <c r="E115" s="75"/>
    </row>
    <row r="116" spans="1:6" x14ac:dyDescent="0.25">
      <c r="A116" s="74" t="s">
        <v>141</v>
      </c>
      <c r="B116" s="61"/>
      <c r="C116" s="61">
        <f>C114/C93</f>
        <v>66.861538461538473</v>
      </c>
      <c r="D116" s="61">
        <f>D114/D93</f>
        <v>70.44369603729605</v>
      </c>
      <c r="E116" s="75"/>
    </row>
    <row r="117" spans="1:6" x14ac:dyDescent="0.25">
      <c r="A117" s="74" t="s">
        <v>91</v>
      </c>
      <c r="B117" s="60"/>
      <c r="C117" s="62"/>
      <c r="D117" s="62">
        <f>D116/C116-1</f>
        <v>5.357575757575761E-2</v>
      </c>
      <c r="E117" s="76"/>
    </row>
    <row r="118" spans="1:6" x14ac:dyDescent="0.25">
      <c r="A118" s="70" t="s">
        <v>132</v>
      </c>
      <c r="B118" s="66"/>
      <c r="C118" s="66">
        <f>D100/C116</f>
        <v>7.0909090909090908E-2</v>
      </c>
      <c r="D118" s="66">
        <f>E100/D116</f>
        <v>7.0909090909090922E-2</v>
      </c>
      <c r="E118" s="77"/>
    </row>
    <row r="119" spans="1:6" x14ac:dyDescent="0.25">
      <c r="A119" s="72" t="s">
        <v>98</v>
      </c>
      <c r="B119" s="65"/>
      <c r="C119" s="65">
        <f>D104/C116</f>
        <v>5.6727272727272723E-2</v>
      </c>
      <c r="D119" s="65">
        <f>E104/D116</f>
        <v>5.672727272727273E-2</v>
      </c>
      <c r="E119" s="78"/>
    </row>
    <row r="120" spans="1:6" x14ac:dyDescent="0.25">
      <c r="A120" s="74" t="s">
        <v>352</v>
      </c>
      <c r="B120" s="185"/>
      <c r="C120" s="186">
        <f>C116/D100</f>
        <v>14.102564102564102</v>
      </c>
      <c r="D120" s="186">
        <f>D116/E100</f>
        <v>14.1025641025641</v>
      </c>
      <c r="E120" s="185"/>
    </row>
    <row r="121" spans="1:6" x14ac:dyDescent="0.25">
      <c r="A121" s="72" t="s">
        <v>353</v>
      </c>
      <c r="B121" s="64"/>
      <c r="C121" s="167">
        <f>C116/D104</f>
        <v>17.628205128205128</v>
      </c>
      <c r="D121" s="167">
        <f>D116/E104</f>
        <v>17.628205128205128</v>
      </c>
      <c r="E121" s="64"/>
      <c r="F121" s="82">
        <f>IRR(B124:D124)</f>
        <v>0.11030303030303013</v>
      </c>
    </row>
    <row r="122" spans="1:6" x14ac:dyDescent="0.25">
      <c r="A122" s="74" t="s">
        <v>163</v>
      </c>
      <c r="B122" s="62">
        <f>B34/B33</f>
        <v>0.49230769230769228</v>
      </c>
      <c r="C122" s="62">
        <f>(C34+C50+C62)/(C33+C49+C61)</f>
        <v>0.49230769230769228</v>
      </c>
      <c r="D122" s="62">
        <f>(D34+D50+D62+D74+D86)/(D33+D49+D61+D73+D85)</f>
        <v>0.49230769230769222</v>
      </c>
      <c r="E122" s="76"/>
    </row>
    <row r="123" spans="1:6" x14ac:dyDescent="0.25">
      <c r="A123" s="72" t="s">
        <v>162</v>
      </c>
      <c r="B123" s="64"/>
      <c r="C123" s="90">
        <f>C22/C28</f>
        <v>2.5</v>
      </c>
      <c r="D123" s="90">
        <f>(D22+D42+D54)/(D28+D44+D56)</f>
        <v>2.5</v>
      </c>
      <c r="E123" s="91">
        <f>(E22+E42+E54+E66+E78)/(E28+E44+E56+E68+E80)</f>
        <v>2.5</v>
      </c>
    </row>
    <row r="124" spans="1:6" ht="13.8" thickBot="1" x14ac:dyDescent="0.3">
      <c r="A124" s="79" t="s">
        <v>97</v>
      </c>
      <c r="B124" s="80">
        <f>-B111</f>
        <v>-63.461538461538467</v>
      </c>
      <c r="C124" s="80">
        <f>C104</f>
        <v>3.6</v>
      </c>
      <c r="D124" s="80">
        <f>D104+D111</f>
        <v>74.236568764568759</v>
      </c>
      <c r="E124" s="81" t="s">
        <v>133</v>
      </c>
    </row>
    <row r="125" spans="1:6" x14ac:dyDescent="0.25">
      <c r="A125" s="146" t="s">
        <v>271</v>
      </c>
      <c r="B125" s="68"/>
      <c r="C125" s="147">
        <f>D104/($G$13-$G$16)</f>
        <v>66.861538461538473</v>
      </c>
      <c r="D125" s="147">
        <f>E104/($G$13-$G$16)</f>
        <v>70.44369603729605</v>
      </c>
      <c r="E125" s="69"/>
    </row>
    <row r="126" spans="1:6" x14ac:dyDescent="0.25">
      <c r="A126" s="148" t="s">
        <v>272</v>
      </c>
      <c r="B126" s="60"/>
      <c r="C126" s="61">
        <f>D100/($G$13-$G$15)</f>
        <v>66.861538461538473</v>
      </c>
      <c r="D126" s="61">
        <f>E100/($G$13-$G$15)</f>
        <v>70.443696037296064</v>
      </c>
      <c r="E126" s="136"/>
    </row>
    <row r="127" spans="1:6" x14ac:dyDescent="0.25">
      <c r="A127" s="148" t="s">
        <v>273</v>
      </c>
      <c r="B127" s="60"/>
      <c r="C127" s="61">
        <f>(D29+D45)/C92</f>
        <v>4.741090909090909</v>
      </c>
      <c r="D127" s="61">
        <f>(E29+E45+E57+E69)/D92</f>
        <v>4.9950984462809922</v>
      </c>
      <c r="E127" s="136"/>
    </row>
    <row r="128" spans="1:6" ht="13.8" thickBot="1" x14ac:dyDescent="0.3">
      <c r="A128" s="149" t="s">
        <v>274</v>
      </c>
      <c r="B128" s="134"/>
      <c r="C128" s="80">
        <f>D57/(C93-C92)</f>
        <v>4.741090909090909</v>
      </c>
      <c r="D128" s="80">
        <f>E81/(D93-D92)</f>
        <v>4.9950984462809949</v>
      </c>
      <c r="E128" s="151"/>
    </row>
  </sheetData>
  <phoneticPr fontId="2"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7"/>
  <sheetViews>
    <sheetView workbookViewId="0"/>
  </sheetViews>
  <sheetFormatPr defaultRowHeight="13.2" x14ac:dyDescent="0.25"/>
  <cols>
    <col min="1" max="1" width="47.33203125" customWidth="1"/>
    <col min="2" max="2" width="10.6640625" customWidth="1"/>
    <col min="3" max="3" width="9.33203125" bestFit="1" customWidth="1"/>
    <col min="4" max="4" width="9.5546875" customWidth="1"/>
    <col min="5" max="5" width="9.77734375" customWidth="1"/>
    <col min="7" max="7" width="38.88671875" customWidth="1"/>
    <col min="8" max="8" width="12.109375" bestFit="1" customWidth="1"/>
    <col min="9" max="9" width="12.44140625" customWidth="1"/>
    <col min="13" max="13" width="10" customWidth="1"/>
  </cols>
  <sheetData>
    <row r="1" spans="1:27" x14ac:dyDescent="0.25">
      <c r="A1" s="93" t="s">
        <v>413</v>
      </c>
    </row>
    <row r="2" spans="1:27" x14ac:dyDescent="0.25">
      <c r="A2" t="s">
        <v>248</v>
      </c>
    </row>
    <row r="3" spans="1:27" x14ac:dyDescent="0.25">
      <c r="A3" t="s">
        <v>249</v>
      </c>
    </row>
    <row r="4" spans="1:27" x14ac:dyDescent="0.25">
      <c r="A4" t="s">
        <v>369</v>
      </c>
    </row>
    <row r="5" spans="1:27" x14ac:dyDescent="0.25">
      <c r="A5" t="s">
        <v>349</v>
      </c>
    </row>
    <row r="6" spans="1:27" ht="13.8" thickBot="1" x14ac:dyDescent="0.3"/>
    <row r="7" spans="1:27" x14ac:dyDescent="0.25">
      <c r="A7" s="92" t="s">
        <v>108</v>
      </c>
      <c r="B7" s="39"/>
      <c r="G7" s="223" t="s">
        <v>109</v>
      </c>
      <c r="H7" s="224"/>
      <c r="I7" s="224"/>
      <c r="J7" s="224" t="s">
        <v>251</v>
      </c>
      <c r="K7" s="224"/>
      <c r="L7" s="224"/>
      <c r="M7" s="225"/>
    </row>
    <row r="8" spans="1:27" x14ac:dyDescent="0.25">
      <c r="A8" s="139" t="s">
        <v>264</v>
      </c>
      <c r="B8" s="44"/>
      <c r="G8" s="226" t="s">
        <v>183</v>
      </c>
      <c r="H8" s="227">
        <f>C26/B34</f>
        <v>5.9500000000000004E-2</v>
      </c>
      <c r="I8" s="228" t="s">
        <v>185</v>
      </c>
      <c r="J8" s="229" t="s">
        <v>399</v>
      </c>
      <c r="K8" s="229"/>
      <c r="L8" s="229"/>
      <c r="M8" s="230"/>
    </row>
    <row r="9" spans="1:27" x14ac:dyDescent="0.25">
      <c r="A9" s="40" t="s">
        <v>61</v>
      </c>
      <c r="B9" s="41">
        <f>Analyzer!B3</f>
        <v>100</v>
      </c>
      <c r="G9" s="226" t="s">
        <v>182</v>
      </c>
      <c r="H9" s="227">
        <f>C26/B35</f>
        <v>5.4090909090909092E-2</v>
      </c>
      <c r="I9" s="228" t="s">
        <v>184</v>
      </c>
      <c r="J9" s="229" t="s">
        <v>186</v>
      </c>
      <c r="K9" s="229"/>
      <c r="L9" s="229"/>
      <c r="M9" s="230"/>
    </row>
    <row r="10" spans="1:27" x14ac:dyDescent="0.25">
      <c r="A10" s="40" t="s">
        <v>62</v>
      </c>
      <c r="B10" s="43">
        <f>Analyzer!B4</f>
        <v>0.15</v>
      </c>
      <c r="G10" s="226" t="s">
        <v>207</v>
      </c>
      <c r="H10" s="227">
        <f>C31/B37</f>
        <v>5.3307692307692313E-2</v>
      </c>
      <c r="I10" s="228" t="s">
        <v>187</v>
      </c>
      <c r="J10" s="229" t="s">
        <v>401</v>
      </c>
      <c r="K10" s="229"/>
      <c r="L10" s="229"/>
      <c r="M10" s="230"/>
    </row>
    <row r="11" spans="1:27" x14ac:dyDescent="0.25">
      <c r="A11" s="40" t="s">
        <v>393</v>
      </c>
      <c r="B11" s="43">
        <f>Analyzer!B5</f>
        <v>0.02</v>
      </c>
      <c r="G11" s="226" t="s">
        <v>101</v>
      </c>
      <c r="H11" s="227">
        <f>E159</f>
        <v>4.2646153846153848E-2</v>
      </c>
      <c r="I11" s="228" t="s">
        <v>205</v>
      </c>
      <c r="J11" s="229" t="s">
        <v>103</v>
      </c>
      <c r="K11" s="229"/>
      <c r="L11" s="229"/>
      <c r="M11" s="230"/>
    </row>
    <row r="12" spans="1:27" x14ac:dyDescent="0.25">
      <c r="A12" s="40" t="s">
        <v>102</v>
      </c>
      <c r="B12" s="43">
        <v>7.0000000000000007E-2</v>
      </c>
      <c r="G12" s="226" t="s">
        <v>206</v>
      </c>
      <c r="H12" s="227">
        <f>C31/(-B38)</f>
        <v>6.4166666666666677E-2</v>
      </c>
      <c r="I12" s="228" t="s">
        <v>208</v>
      </c>
      <c r="J12" s="229" t="s">
        <v>402</v>
      </c>
      <c r="K12" s="229"/>
      <c r="L12" s="229"/>
      <c r="M12" s="230"/>
    </row>
    <row r="13" spans="1:27" x14ac:dyDescent="0.25">
      <c r="A13" s="40" t="s">
        <v>63</v>
      </c>
      <c r="B13" s="43">
        <v>5.5E-2</v>
      </c>
      <c r="G13" s="226" t="s">
        <v>188</v>
      </c>
      <c r="H13" s="227">
        <f>IRR(B28:E28)</f>
        <v>7.9499999999982585E-2</v>
      </c>
      <c r="I13" s="228" t="s">
        <v>189</v>
      </c>
      <c r="J13" s="229" t="s">
        <v>403</v>
      </c>
      <c r="K13" s="229"/>
      <c r="L13" s="229"/>
      <c r="M13" s="230"/>
    </row>
    <row r="14" spans="1:27" x14ac:dyDescent="0.25">
      <c r="A14" s="40" t="s">
        <v>134</v>
      </c>
      <c r="B14" s="182">
        <f>Analyzer!B8</f>
        <v>10</v>
      </c>
      <c r="G14" s="226" t="s">
        <v>223</v>
      </c>
      <c r="H14" s="227">
        <f>IRR(B29:E29)</f>
        <v>7.4090909090796631E-2</v>
      </c>
      <c r="I14" s="228" t="s">
        <v>310</v>
      </c>
      <c r="J14" s="229" t="s">
        <v>186</v>
      </c>
      <c r="K14" s="229"/>
      <c r="L14" s="229"/>
      <c r="M14" s="230"/>
    </row>
    <row r="15" spans="1:27" x14ac:dyDescent="0.25">
      <c r="A15" s="141" t="s">
        <v>177</v>
      </c>
      <c r="B15" s="142">
        <f>1.1</f>
        <v>1.1000000000000001</v>
      </c>
      <c r="C15" s="55" t="s">
        <v>400</v>
      </c>
      <c r="G15" s="231" t="s">
        <v>181</v>
      </c>
      <c r="H15" s="232">
        <f>IRR(B38:E38)</f>
        <v>0.10490740740740745</v>
      </c>
      <c r="I15" s="233" t="s">
        <v>190</v>
      </c>
      <c r="J15" s="234" t="s">
        <v>404</v>
      </c>
      <c r="K15" s="234"/>
      <c r="L15" s="234"/>
      <c r="M15" s="235"/>
      <c r="N15" s="164"/>
    </row>
    <row r="16" spans="1:27" x14ac:dyDescent="0.25">
      <c r="A16" s="139" t="s">
        <v>265</v>
      </c>
      <c r="B16" s="44"/>
      <c r="G16" s="226" t="s">
        <v>180</v>
      </c>
      <c r="H16" s="227">
        <f>IRR(B39:E39)</f>
        <v>9.0538461538461235E-2</v>
      </c>
      <c r="I16" s="228" t="s">
        <v>191</v>
      </c>
      <c r="J16" s="229" t="s">
        <v>268</v>
      </c>
      <c r="K16" s="229"/>
      <c r="L16" s="229"/>
      <c r="M16" s="230"/>
      <c r="N16" s="116"/>
      <c r="O16" s="157"/>
      <c r="P16" s="157"/>
      <c r="Q16" s="157"/>
      <c r="R16" s="157"/>
      <c r="S16" s="157"/>
      <c r="T16" s="157"/>
      <c r="U16" s="157"/>
      <c r="V16" s="157"/>
      <c r="W16" s="157"/>
      <c r="X16" s="157"/>
      <c r="Y16" s="157"/>
      <c r="Z16" s="157"/>
      <c r="AA16" s="158"/>
    </row>
    <row r="17" spans="1:27" x14ac:dyDescent="0.25">
      <c r="A17" s="40" t="s">
        <v>266</v>
      </c>
      <c r="B17" s="44">
        <v>2.5</v>
      </c>
      <c r="C17" t="s">
        <v>267</v>
      </c>
      <c r="G17" s="231" t="s">
        <v>243</v>
      </c>
      <c r="H17" s="232">
        <f>G168</f>
        <v>0.11573085892159951</v>
      </c>
      <c r="I17" s="233" t="s">
        <v>194</v>
      </c>
      <c r="J17" s="234" t="s">
        <v>247</v>
      </c>
      <c r="K17" s="234"/>
      <c r="L17" s="234"/>
      <c r="M17" s="235"/>
      <c r="N17" s="164"/>
      <c r="O17" s="164"/>
      <c r="P17" s="164"/>
      <c r="Q17" s="164"/>
      <c r="R17" s="164"/>
      <c r="S17" s="164"/>
      <c r="T17" s="164"/>
      <c r="U17" s="164"/>
      <c r="V17" s="164"/>
      <c r="W17" s="164"/>
      <c r="X17" s="164"/>
      <c r="Y17" s="164"/>
      <c r="Z17" s="164"/>
      <c r="AA17" s="165"/>
    </row>
    <row r="18" spans="1:27" x14ac:dyDescent="0.25">
      <c r="A18" s="40" t="s">
        <v>111</v>
      </c>
      <c r="B18" s="44">
        <f>Analyzer!B12</f>
        <v>0.2</v>
      </c>
      <c r="C18" t="s">
        <v>338</v>
      </c>
      <c r="G18" s="226" t="s">
        <v>104</v>
      </c>
      <c r="H18" s="227">
        <f>H13-H8</f>
        <v>1.999999999998258E-2</v>
      </c>
      <c r="I18" s="228" t="s">
        <v>209</v>
      </c>
      <c r="J18" s="229"/>
      <c r="K18" s="229"/>
      <c r="L18" s="229"/>
      <c r="M18" s="230"/>
    </row>
    <row r="19" spans="1:27" ht="13.8" thickBot="1" x14ac:dyDescent="0.3">
      <c r="A19" s="45" t="s">
        <v>135</v>
      </c>
      <c r="B19" s="248">
        <v>0.1</v>
      </c>
      <c r="G19" s="226" t="s">
        <v>105</v>
      </c>
      <c r="H19" s="227">
        <f>H15-H12</f>
        <v>4.0740740740740772E-2</v>
      </c>
      <c r="I19" s="228" t="s">
        <v>210</v>
      </c>
      <c r="J19" s="229" t="s">
        <v>296</v>
      </c>
      <c r="K19" s="229"/>
      <c r="L19" s="229"/>
      <c r="M19" s="230"/>
    </row>
    <row r="20" spans="1:27" x14ac:dyDescent="0.25">
      <c r="G20" s="226" t="s">
        <v>105</v>
      </c>
      <c r="H20" s="227">
        <f>H16-H10</f>
        <v>3.7230769230768922E-2</v>
      </c>
      <c r="I20" s="228" t="s">
        <v>211</v>
      </c>
      <c r="J20" s="229" t="s">
        <v>268</v>
      </c>
      <c r="K20" s="229"/>
      <c r="L20" s="229"/>
      <c r="M20" s="230"/>
    </row>
    <row r="21" spans="1:27" x14ac:dyDescent="0.25">
      <c r="G21" s="226" t="s">
        <v>156</v>
      </c>
      <c r="H21" s="227">
        <f>H17-H11</f>
        <v>7.3084705075445663E-2</v>
      </c>
      <c r="I21" s="228" t="s">
        <v>254</v>
      </c>
      <c r="J21" s="229" t="s">
        <v>255</v>
      </c>
      <c r="K21" s="208"/>
      <c r="L21" s="229"/>
      <c r="M21" s="230"/>
    </row>
    <row r="22" spans="1:27" x14ac:dyDescent="0.25">
      <c r="A22" s="60" t="s">
        <v>195</v>
      </c>
      <c r="G22" s="226" t="s">
        <v>157</v>
      </c>
      <c r="H22" s="227">
        <f>E142</f>
        <v>0.18039317558299017</v>
      </c>
      <c r="I22" s="229" t="s">
        <v>405</v>
      </c>
      <c r="J22" s="236">
        <f>H20+B18*H10</f>
        <v>4.7892307692307387E-2</v>
      </c>
      <c r="K22" s="228" t="s">
        <v>275</v>
      </c>
      <c r="L22" s="229"/>
      <c r="M22" s="230"/>
    </row>
    <row r="23" spans="1:27" x14ac:dyDescent="0.25">
      <c r="A23" s="1" t="s">
        <v>89</v>
      </c>
      <c r="B23">
        <v>0</v>
      </c>
      <c r="C23">
        <v>1</v>
      </c>
      <c r="D23">
        <v>2</v>
      </c>
      <c r="E23">
        <v>3</v>
      </c>
      <c r="F23">
        <v>4</v>
      </c>
      <c r="G23" s="226" t="s">
        <v>158</v>
      </c>
      <c r="H23" s="227">
        <f>E154</f>
        <v>0.18039317558299039</v>
      </c>
      <c r="I23" s="229" t="s">
        <v>406</v>
      </c>
      <c r="J23" s="236"/>
      <c r="K23" s="228"/>
      <c r="L23" s="229"/>
      <c r="M23" s="230"/>
    </row>
    <row r="24" spans="1:27" s="8" customFormat="1" x14ac:dyDescent="0.25">
      <c r="A24" s="21" t="s">
        <v>118</v>
      </c>
      <c r="B24" s="21"/>
      <c r="C24" s="21">
        <f>B9</f>
        <v>100</v>
      </c>
      <c r="D24" s="21">
        <f>(1+$B$11)*C24</f>
        <v>102</v>
      </c>
      <c r="E24" s="21">
        <f>(1+$B$11)*D24</f>
        <v>104.04</v>
      </c>
      <c r="F24" s="21">
        <f>(1+$B$11)*E24</f>
        <v>106.1208</v>
      </c>
      <c r="G24" s="226" t="s">
        <v>161</v>
      </c>
      <c r="H24" s="237">
        <f>B166</f>
        <v>0.46280991735537191</v>
      </c>
      <c r="I24" s="229" t="s">
        <v>313</v>
      </c>
      <c r="J24" s="236"/>
      <c r="K24" s="228"/>
      <c r="L24" s="229"/>
      <c r="M24" s="238"/>
    </row>
    <row r="25" spans="1:27" s="8" customFormat="1" x14ac:dyDescent="0.25">
      <c r="A25" s="22" t="s">
        <v>119</v>
      </c>
      <c r="B25" s="22"/>
      <c r="C25" s="22">
        <f>$B$10*C24</f>
        <v>15</v>
      </c>
      <c r="D25" s="22">
        <f>$B$10*D24</f>
        <v>15.299999999999999</v>
      </c>
      <c r="E25" s="22">
        <f>$B$10*E24</f>
        <v>15.606</v>
      </c>
      <c r="F25" s="22">
        <f>$B$10*F24</f>
        <v>15.91812</v>
      </c>
      <c r="G25" s="249" t="s">
        <v>162</v>
      </c>
      <c r="H25" s="250">
        <f>C167</f>
        <v>2.5</v>
      </c>
      <c r="I25" s="251"/>
      <c r="J25" s="252"/>
      <c r="K25" s="251"/>
      <c r="L25" s="251"/>
      <c r="M25" s="253"/>
    </row>
    <row r="26" spans="1:27" s="8" customFormat="1" x14ac:dyDescent="0.25">
      <c r="A26" s="21" t="s">
        <v>65</v>
      </c>
      <c r="B26" s="21"/>
      <c r="C26" s="21">
        <f>C24-C25</f>
        <v>85</v>
      </c>
      <c r="D26" s="21">
        <f>D24-D25</f>
        <v>86.7</v>
      </c>
      <c r="E26" s="21">
        <f>E24-E25</f>
        <v>88.434000000000012</v>
      </c>
      <c r="F26" s="21">
        <f>F24-F25</f>
        <v>90.202680000000001</v>
      </c>
      <c r="G26" s="239" t="s">
        <v>179</v>
      </c>
      <c r="H26" s="207">
        <f>E148</f>
        <v>1.2037037037037037</v>
      </c>
      <c r="I26" s="206" t="s">
        <v>407</v>
      </c>
      <c r="J26" s="208"/>
      <c r="K26" s="208"/>
      <c r="L26" s="208"/>
      <c r="M26" s="238"/>
    </row>
    <row r="27" spans="1:27" s="8" customFormat="1" x14ac:dyDescent="0.25">
      <c r="A27" s="21" t="s">
        <v>66</v>
      </c>
      <c r="B27" s="21"/>
      <c r="C27" s="21"/>
      <c r="D27" s="21"/>
      <c r="E27" s="21">
        <f>F24/$B$12</f>
        <v>1516.0114285714285</v>
      </c>
      <c r="F27" s="21"/>
      <c r="G27" s="254" t="s">
        <v>383</v>
      </c>
      <c r="H27" s="255">
        <f>1/H26</f>
        <v>0.8307692307692307</v>
      </c>
      <c r="I27" s="256" t="s">
        <v>408</v>
      </c>
      <c r="J27" s="251"/>
      <c r="K27" s="251"/>
      <c r="L27" s="251"/>
      <c r="M27" s="253"/>
    </row>
    <row r="28" spans="1:27" s="8" customFormat="1" x14ac:dyDescent="0.25">
      <c r="A28" s="21" t="s">
        <v>178</v>
      </c>
      <c r="B28" s="21">
        <f>-C24/B12</f>
        <v>-1428.5714285714284</v>
      </c>
      <c r="C28" s="21">
        <f>SUM(C26:C27)</f>
        <v>85</v>
      </c>
      <c r="D28" s="21">
        <f>SUM(D26:D27)</f>
        <v>86.7</v>
      </c>
      <c r="E28" s="21">
        <f>SUM(E26:E27)</f>
        <v>1604.4454285714285</v>
      </c>
      <c r="F28" s="21"/>
      <c r="G28" s="226" t="s">
        <v>354</v>
      </c>
      <c r="H28" s="242">
        <f>D160</f>
        <v>20.130016112526395</v>
      </c>
      <c r="I28" s="208"/>
      <c r="J28" s="208"/>
      <c r="K28" s="208"/>
      <c r="L28" s="208"/>
      <c r="M28" s="238"/>
    </row>
    <row r="29" spans="1:27" s="8" customFormat="1" x14ac:dyDescent="0.25">
      <c r="A29" s="21" t="s">
        <v>222</v>
      </c>
      <c r="B29" s="21">
        <f>B28*B15</f>
        <v>-1571.4285714285713</v>
      </c>
      <c r="C29" s="21">
        <f>C26</f>
        <v>85</v>
      </c>
      <c r="D29" s="21">
        <f>D26</f>
        <v>86.7</v>
      </c>
      <c r="E29" s="21">
        <f>E26+E27*B15</f>
        <v>1756.0465714285715</v>
      </c>
      <c r="F29" s="21"/>
      <c r="G29" s="226" t="s">
        <v>355</v>
      </c>
      <c r="H29" s="242">
        <f t="shared" ref="H29:H30" si="0">D161</f>
        <v>25.162520140657993</v>
      </c>
      <c r="I29" s="208"/>
      <c r="J29" s="208"/>
      <c r="K29" s="208"/>
      <c r="L29" s="208"/>
      <c r="M29" s="238"/>
    </row>
    <row r="30" spans="1:27" s="8" customFormat="1" x14ac:dyDescent="0.25">
      <c r="A30" s="22" t="s">
        <v>121</v>
      </c>
      <c r="B30" s="22"/>
      <c r="C30" s="22">
        <f>C24/$B$17</f>
        <v>40</v>
      </c>
      <c r="D30" s="22">
        <f>D24/$B$17</f>
        <v>40.799999999999997</v>
      </c>
      <c r="E30" s="22">
        <f>E24/$B$17</f>
        <v>41.616</v>
      </c>
      <c r="F30" s="22">
        <f>F24/$B$17</f>
        <v>42.448320000000002</v>
      </c>
      <c r="G30" s="226" t="s">
        <v>352</v>
      </c>
      <c r="H30" s="242">
        <f t="shared" si="0"/>
        <v>18.759018759018758</v>
      </c>
      <c r="I30" s="208"/>
      <c r="J30" s="208"/>
      <c r="K30" s="208"/>
      <c r="L30" s="208"/>
      <c r="M30" s="238"/>
    </row>
    <row r="31" spans="1:27" x14ac:dyDescent="0.25">
      <c r="A31" s="21" t="s">
        <v>122</v>
      </c>
      <c r="B31" s="23"/>
      <c r="C31" s="21">
        <f>C24-C30-C25</f>
        <v>45</v>
      </c>
      <c r="D31" s="21">
        <f>D24-D30-D25</f>
        <v>45.900000000000006</v>
      </c>
      <c r="E31" s="21">
        <f>E24-E30-E25</f>
        <v>46.818000000000005</v>
      </c>
      <c r="F31" s="21">
        <f>F24-F30-F25</f>
        <v>47.754359999999998</v>
      </c>
      <c r="G31" s="226" t="s">
        <v>353</v>
      </c>
      <c r="H31" s="244">
        <f>D163</f>
        <v>23.448773448773444</v>
      </c>
      <c r="I31" s="229"/>
      <c r="J31" s="229"/>
      <c r="K31" s="229"/>
      <c r="L31" s="229"/>
      <c r="M31" s="230"/>
    </row>
    <row r="32" spans="1:27" x14ac:dyDescent="0.25">
      <c r="A32" s="21" t="s">
        <v>123</v>
      </c>
      <c r="B32" s="23"/>
      <c r="C32" s="21">
        <f>(1-$B$18)*C31</f>
        <v>36</v>
      </c>
      <c r="D32" s="21">
        <f>(1-$B$18)*D31</f>
        <v>36.720000000000006</v>
      </c>
      <c r="E32" s="21">
        <f>(1-$B$18)*E31</f>
        <v>37.454400000000007</v>
      </c>
      <c r="F32" s="21">
        <f>(1-$B$18)*F31</f>
        <v>38.203488</v>
      </c>
      <c r="G32" s="243" t="s">
        <v>388</v>
      </c>
      <c r="H32" s="208">
        <f>C149</f>
        <v>88.938071188071191</v>
      </c>
      <c r="I32" s="229"/>
      <c r="J32" s="229"/>
      <c r="K32" s="229"/>
      <c r="L32" s="229"/>
      <c r="M32" s="230"/>
    </row>
    <row r="33" spans="1:13" x14ac:dyDescent="0.25">
      <c r="A33" s="21" t="s">
        <v>124</v>
      </c>
      <c r="B33" s="23"/>
      <c r="C33" s="21">
        <f>$B$18*C31</f>
        <v>9</v>
      </c>
      <c r="D33" s="21">
        <f>$B$18*D31</f>
        <v>9.1800000000000015</v>
      </c>
      <c r="E33" s="21">
        <f>$B$18*E31</f>
        <v>9.3636000000000017</v>
      </c>
      <c r="F33" s="21">
        <f>$B$18*F31</f>
        <v>9.550872</v>
      </c>
      <c r="G33" s="243" t="s">
        <v>389</v>
      </c>
      <c r="H33" s="208">
        <f>C155</f>
        <v>90.585072506368817</v>
      </c>
      <c r="I33" s="229"/>
      <c r="J33" s="229"/>
      <c r="K33" s="229"/>
      <c r="L33" s="229"/>
      <c r="M33" s="230"/>
    </row>
    <row r="34" spans="1:13" x14ac:dyDescent="0.25">
      <c r="A34" s="23" t="s">
        <v>196</v>
      </c>
      <c r="B34" s="21">
        <f>C24/$B$12</f>
        <v>1428.5714285714284</v>
      </c>
      <c r="C34" s="21">
        <f>D24/$B$12</f>
        <v>1457.1428571428571</v>
      </c>
      <c r="D34" s="21">
        <f>E24/$B$12</f>
        <v>1486.2857142857142</v>
      </c>
      <c r="E34" s="21">
        <f>F24/$B$12</f>
        <v>1516.0114285714285</v>
      </c>
      <c r="F34" s="21"/>
      <c r="G34" s="243" t="s">
        <v>390</v>
      </c>
      <c r="H34" s="208">
        <f>C140</f>
        <v>1505.1058201058199</v>
      </c>
      <c r="I34" s="229"/>
      <c r="J34" s="229"/>
      <c r="K34" s="229"/>
      <c r="L34" s="229"/>
      <c r="M34" s="230"/>
    </row>
    <row r="35" spans="1:13" x14ac:dyDescent="0.25">
      <c r="A35" s="23" t="s">
        <v>394</v>
      </c>
      <c r="B35" s="21">
        <f>B34*$B$15</f>
        <v>1571.4285714285713</v>
      </c>
      <c r="C35" s="21">
        <f>C34*$B$15</f>
        <v>1602.8571428571429</v>
      </c>
      <c r="D35" s="21">
        <f>D34*$B$15</f>
        <v>1634.9142857142858</v>
      </c>
      <c r="E35" s="21">
        <f>E34*$B$15</f>
        <v>1667.6125714285715</v>
      </c>
      <c r="F35" s="21"/>
      <c r="G35" s="243" t="s">
        <v>391</v>
      </c>
      <c r="H35" s="208">
        <f>C141</f>
        <v>1655.616402116402</v>
      </c>
      <c r="I35" s="246"/>
      <c r="J35" s="229"/>
      <c r="K35" s="229"/>
      <c r="L35" s="229"/>
      <c r="M35" s="230"/>
    </row>
    <row r="36" spans="1:13" ht="13.8" thickBot="1" x14ac:dyDescent="0.3">
      <c r="A36" s="22" t="s">
        <v>395</v>
      </c>
      <c r="B36" s="22">
        <f>C30/$B$13</f>
        <v>727.27272727272725</v>
      </c>
      <c r="C36" s="22">
        <f>D30/$B$13</f>
        <v>741.81818181818176</v>
      </c>
      <c r="D36" s="22">
        <f>E30/$B$13</f>
        <v>756.65454545454543</v>
      </c>
      <c r="E36" s="22">
        <f>F30/$B$13</f>
        <v>771.78763636363635</v>
      </c>
      <c r="F36" s="115"/>
      <c r="G36" s="245" t="s">
        <v>392</v>
      </c>
      <c r="H36" s="211">
        <f>C143</f>
        <v>1854.9035616304134</v>
      </c>
      <c r="I36" s="247"/>
      <c r="J36" s="240"/>
      <c r="K36" s="240"/>
      <c r="L36" s="240"/>
      <c r="M36" s="241"/>
    </row>
    <row r="37" spans="1:13" x14ac:dyDescent="0.25">
      <c r="A37" s="21" t="s">
        <v>396</v>
      </c>
      <c r="B37" s="21">
        <f>B35-B36</f>
        <v>844.15584415584408</v>
      </c>
      <c r="C37" s="21">
        <f>C35-C36</f>
        <v>861.03896103896113</v>
      </c>
      <c r="D37" s="21">
        <f>D35-D36</f>
        <v>878.2597402597404</v>
      </c>
      <c r="E37" s="21">
        <f>E35-E36</f>
        <v>895.82493506493518</v>
      </c>
      <c r="F37" s="21"/>
      <c r="G37" s="107"/>
      <c r="H37" s="107"/>
    </row>
    <row r="38" spans="1:13" x14ac:dyDescent="0.25">
      <c r="A38" s="23" t="s">
        <v>397</v>
      </c>
      <c r="B38" s="21">
        <f>-(B34-B36)</f>
        <v>-701.29870129870119</v>
      </c>
      <c r="C38" s="21">
        <f>C31+C36-B36</f>
        <v>59.545454545454504</v>
      </c>
      <c r="D38" s="21">
        <f>D31+D36-C36</f>
        <v>60.736363636363649</v>
      </c>
      <c r="E38" s="21">
        <f>E31+E36-D36+(E34-E36)</f>
        <v>806.17488311688305</v>
      </c>
      <c r="F38" s="21"/>
      <c r="G38" s="107"/>
      <c r="H38" s="107"/>
    </row>
    <row r="39" spans="1:13" x14ac:dyDescent="0.25">
      <c r="A39" s="21" t="s">
        <v>398</v>
      </c>
      <c r="B39" s="21">
        <f>-B37</f>
        <v>-844.15584415584408</v>
      </c>
      <c r="C39" s="21">
        <f>C31+C36-B36</f>
        <v>59.545454545454504</v>
      </c>
      <c r="D39" s="21">
        <f>D31+D36-C36</f>
        <v>60.736363636363649</v>
      </c>
      <c r="E39" s="21">
        <f>E31+E36-D36+E37</f>
        <v>957.77602597402608</v>
      </c>
      <c r="F39" s="21"/>
      <c r="G39" s="107"/>
      <c r="H39" s="107"/>
    </row>
    <row r="40" spans="1:13" x14ac:dyDescent="0.25">
      <c r="A40" s="21" t="s">
        <v>128</v>
      </c>
      <c r="B40" s="24">
        <f>C31/B37</f>
        <v>5.3307692307692313E-2</v>
      </c>
      <c r="C40" s="24">
        <f>D31/C37</f>
        <v>5.3307692307692306E-2</v>
      </c>
      <c r="D40" s="24">
        <f>E31/D37</f>
        <v>5.3307692307692306E-2</v>
      </c>
      <c r="E40" s="24">
        <f>F31/E37</f>
        <v>5.3307692307692299E-2</v>
      </c>
      <c r="F40" s="24"/>
    </row>
    <row r="41" spans="1:13" x14ac:dyDescent="0.25">
      <c r="A41" s="21" t="s">
        <v>129</v>
      </c>
      <c r="B41" s="24">
        <f>C32/B37</f>
        <v>4.2646153846153848E-2</v>
      </c>
      <c r="C41" s="24">
        <f>D32/C37</f>
        <v>4.2646153846153848E-2</v>
      </c>
      <c r="D41" s="24">
        <f>E32/D37</f>
        <v>4.2646153846153848E-2</v>
      </c>
      <c r="E41" s="24">
        <f>F32/E37</f>
        <v>4.2646153846153841E-2</v>
      </c>
      <c r="F41" s="24"/>
    </row>
    <row r="43" spans="1:13" x14ac:dyDescent="0.25">
      <c r="A43" s="25" t="s">
        <v>226</v>
      </c>
      <c r="B43" s="26"/>
      <c r="C43" s="26"/>
      <c r="D43" s="26"/>
      <c r="E43" s="26"/>
      <c r="F43" s="26"/>
    </row>
    <row r="44" spans="1:13" x14ac:dyDescent="0.25">
      <c r="A44" s="27" t="s">
        <v>67</v>
      </c>
      <c r="B44" s="28"/>
      <c r="C44" s="28"/>
      <c r="D44" s="27">
        <f>C50*$B$12</f>
        <v>3.3574074074074023</v>
      </c>
      <c r="E44" s="27">
        <f>(1+$B$11)*D44</f>
        <v>3.4245555555555502</v>
      </c>
      <c r="F44" s="27">
        <f>(1+$B$11)*E44</f>
        <v>3.4930466666666615</v>
      </c>
    </row>
    <row r="45" spans="1:13" x14ac:dyDescent="0.25">
      <c r="A45" s="27" t="s">
        <v>68</v>
      </c>
      <c r="B45" s="28"/>
      <c r="C45" s="28"/>
      <c r="D45" s="27">
        <f>$B$10*D44</f>
        <v>0.50361111111111034</v>
      </c>
      <c r="E45" s="27">
        <f>$B$10*E44</f>
        <v>0.51368333333333249</v>
      </c>
      <c r="F45" s="27">
        <f>$B$10*F44</f>
        <v>0.52395699999999923</v>
      </c>
    </row>
    <row r="46" spans="1:13" x14ac:dyDescent="0.25">
      <c r="A46" s="29" t="s">
        <v>69</v>
      </c>
      <c r="B46" s="26"/>
      <c r="C46" s="26"/>
      <c r="D46" s="29">
        <f>C52*$B$13</f>
        <v>1.3429629629629609</v>
      </c>
      <c r="E46" s="29">
        <f>E44/$B$17</f>
        <v>1.3698222222222201</v>
      </c>
      <c r="F46" s="29">
        <f>F44/$B$17</f>
        <v>1.3972186666666646</v>
      </c>
    </row>
    <row r="47" spans="1:13" x14ac:dyDescent="0.25">
      <c r="A47" s="25" t="s">
        <v>70</v>
      </c>
      <c r="B47" s="26"/>
      <c r="C47" s="26"/>
      <c r="D47" s="25">
        <f>D44-D45-D46</f>
        <v>1.510833333333331</v>
      </c>
      <c r="E47" s="25">
        <f>E44-E45-E46</f>
        <v>1.5410499999999978</v>
      </c>
      <c r="F47" s="25">
        <f>F44-F45-F46</f>
        <v>1.5718709999999976</v>
      </c>
    </row>
    <row r="48" spans="1:13" x14ac:dyDescent="0.25">
      <c r="A48" s="25" t="s">
        <v>71</v>
      </c>
      <c r="B48" s="26"/>
      <c r="C48" s="26"/>
      <c r="D48" s="25">
        <f>(1-$B$18)*D47</f>
        <v>1.208666666666665</v>
      </c>
      <c r="E48" s="25">
        <f>(1-$B$18)*E47</f>
        <v>1.2328399999999984</v>
      </c>
      <c r="F48" s="25">
        <f>(1-$B$18)*F47</f>
        <v>1.2574967999999982</v>
      </c>
    </row>
    <row r="49" spans="1:8" x14ac:dyDescent="0.25">
      <c r="A49" s="25" t="s">
        <v>72</v>
      </c>
      <c r="B49" s="26"/>
      <c r="C49" s="26"/>
      <c r="D49" s="25">
        <f>$B$18*D47</f>
        <v>0.30216666666666625</v>
      </c>
      <c r="E49" s="25">
        <f>$B$18*E47</f>
        <v>0.3082099999999996</v>
      </c>
      <c r="F49" s="25">
        <f>$B$18*F47</f>
        <v>0.31437419999999955</v>
      </c>
    </row>
    <row r="50" spans="1:8" x14ac:dyDescent="0.25">
      <c r="A50" s="26" t="s">
        <v>198</v>
      </c>
      <c r="B50" s="26"/>
      <c r="C50" s="25">
        <f>(C33+C36-B36)*($B$35/$B$37)/((1-$B$15)*($B$35/$B$37)+$B$15)</f>
        <v>47.962962962962884</v>
      </c>
      <c r="D50" s="25">
        <f>E44/$B$12</f>
        <v>48.922222222222139</v>
      </c>
      <c r="E50" s="25">
        <f>F44/$B$12</f>
        <v>49.900666666666588</v>
      </c>
      <c r="F50" s="25"/>
      <c r="G50" t="s">
        <v>409</v>
      </c>
    </row>
    <row r="51" spans="1:8" x14ac:dyDescent="0.25">
      <c r="A51" s="25" t="s">
        <v>197</v>
      </c>
      <c r="B51" s="26"/>
      <c r="C51" s="108">
        <f>C50*$B$15</f>
        <v>52.759259259259174</v>
      </c>
      <c r="D51" s="108">
        <f>D50*$B$15</f>
        <v>53.814444444444355</v>
      </c>
      <c r="E51" s="108">
        <f>E50*$B$15</f>
        <v>54.890733333333252</v>
      </c>
      <c r="F51" s="108"/>
      <c r="G51" s="106"/>
      <c r="H51" s="106"/>
    </row>
    <row r="52" spans="1:8" x14ac:dyDescent="0.25">
      <c r="A52" s="29" t="s">
        <v>143</v>
      </c>
      <c r="B52" s="25"/>
      <c r="C52" s="29">
        <f>C50-(C33+C36-B36)</f>
        <v>24.41750841750838</v>
      </c>
      <c r="D52" s="29">
        <f>E46/$B$13</f>
        <v>24.905858585858546</v>
      </c>
      <c r="E52" s="29">
        <f>F46/$B$13</f>
        <v>25.403975757575719</v>
      </c>
      <c r="F52" s="27"/>
      <c r="G52" s="109"/>
      <c r="H52" s="109"/>
    </row>
    <row r="53" spans="1:8" x14ac:dyDescent="0.25">
      <c r="A53" s="25" t="s">
        <v>144</v>
      </c>
      <c r="B53" s="26"/>
      <c r="C53" s="25">
        <f>C51-C52</f>
        <v>28.341750841750795</v>
      </c>
      <c r="D53" s="25">
        <f>D51-D52</f>
        <v>28.908585858585809</v>
      </c>
      <c r="E53" s="25">
        <f>E51-E52</f>
        <v>29.486757575757533</v>
      </c>
      <c r="F53" s="25"/>
      <c r="G53" s="8"/>
    </row>
    <row r="54" spans="1:8" x14ac:dyDescent="0.25">
      <c r="A54" s="25" t="s">
        <v>217</v>
      </c>
      <c r="B54" s="26"/>
      <c r="C54" s="25">
        <f>C50-(C33+(C36-B36)+C52)</f>
        <v>0</v>
      </c>
      <c r="D54" s="25"/>
      <c r="E54" s="25"/>
      <c r="F54" s="25"/>
      <c r="G54" s="8"/>
    </row>
    <row r="55" spans="1:8" x14ac:dyDescent="0.25">
      <c r="A55" s="26" t="s">
        <v>216</v>
      </c>
      <c r="B55" s="26"/>
      <c r="C55" s="25">
        <f>C51-(C33+(C36-B36)+C52)</f>
        <v>4.7962962962962905</v>
      </c>
      <c r="D55" s="26"/>
      <c r="E55" s="26"/>
      <c r="F55" s="26"/>
    </row>
    <row r="56" spans="1:8" x14ac:dyDescent="0.25">
      <c r="A56" s="25" t="s">
        <v>136</v>
      </c>
      <c r="B56" s="26"/>
      <c r="C56" s="26"/>
      <c r="D56" s="26"/>
      <c r="E56" s="26"/>
      <c r="F56" s="26"/>
    </row>
    <row r="57" spans="1:8" x14ac:dyDescent="0.25">
      <c r="A57" s="27" t="s">
        <v>67</v>
      </c>
      <c r="B57" s="28"/>
      <c r="C57" s="28"/>
      <c r="D57" s="27">
        <f>C63*$B$12</f>
        <v>12.681910150891635</v>
      </c>
      <c r="E57" s="27">
        <f>(1+$B$11)*D57</f>
        <v>12.935548353909468</v>
      </c>
      <c r="F57" s="27">
        <f>(1+$B$11)*E57</f>
        <v>13.194259320987657</v>
      </c>
    </row>
    <row r="58" spans="1:8" x14ac:dyDescent="0.25">
      <c r="A58" s="27" t="s">
        <v>68</v>
      </c>
      <c r="B58" s="28"/>
      <c r="C58" s="28"/>
      <c r="D58" s="27">
        <f>$B$10*D57</f>
        <v>1.9022865226337453</v>
      </c>
      <c r="E58" s="27">
        <f>$B$10*E57</f>
        <v>1.94033225308642</v>
      </c>
      <c r="F58" s="27">
        <f>$B$10*F57</f>
        <v>1.9791388981481484</v>
      </c>
    </row>
    <row r="59" spans="1:8" x14ac:dyDescent="0.25">
      <c r="A59" s="29" t="s">
        <v>69</v>
      </c>
      <c r="B59" s="26"/>
      <c r="C59" s="26"/>
      <c r="D59" s="29">
        <f>C65*$B$13</f>
        <v>5.0727640603566542</v>
      </c>
      <c r="E59" s="29">
        <f>E57/$B$17</f>
        <v>5.1742193415637869</v>
      </c>
      <c r="F59" s="29">
        <f>F57/$B$17</f>
        <v>5.2777037283950623</v>
      </c>
    </row>
    <row r="60" spans="1:8" x14ac:dyDescent="0.25">
      <c r="A60" s="25" t="s">
        <v>70</v>
      </c>
      <c r="B60" s="26"/>
      <c r="C60" s="26"/>
      <c r="D60" s="25">
        <f>D57-D58-D59</f>
        <v>5.7068595679012368</v>
      </c>
      <c r="E60" s="25">
        <f>E57-E58-E59</f>
        <v>5.82099675925926</v>
      </c>
      <c r="F60" s="25">
        <f>F57-F58-F59</f>
        <v>5.9374166944444458</v>
      </c>
    </row>
    <row r="61" spans="1:8" x14ac:dyDescent="0.25">
      <c r="A61" s="25" t="s">
        <v>71</v>
      </c>
      <c r="B61" s="26"/>
      <c r="C61" s="26"/>
      <c r="D61" s="25">
        <f>(1-$B$18)*D60</f>
        <v>4.5654876543209895</v>
      </c>
      <c r="E61" s="25">
        <f>(1-$B$18)*E60</f>
        <v>4.6567974074074083</v>
      </c>
      <c r="F61" s="25">
        <f>(1-$B$18)*F60</f>
        <v>4.749933355555557</v>
      </c>
    </row>
    <row r="62" spans="1:8" x14ac:dyDescent="0.25">
      <c r="A62" s="25" t="s">
        <v>72</v>
      </c>
      <c r="B62" s="26"/>
      <c r="C62" s="26"/>
      <c r="D62" s="25">
        <f>$B$18*D60</f>
        <v>1.1413719135802474</v>
      </c>
      <c r="E62" s="25">
        <f>$B$18*E60</f>
        <v>1.1641993518518521</v>
      </c>
      <c r="F62" s="25">
        <f>$B$18*F60</f>
        <v>1.1874833388888892</v>
      </c>
    </row>
    <row r="63" spans="1:8" x14ac:dyDescent="0.25">
      <c r="A63" s="26" t="s">
        <v>200</v>
      </c>
      <c r="B63" s="26"/>
      <c r="C63" s="25">
        <f>($B$19*C126)*C149*($B$35/$B$37)/((1-$B$15)*($B$35/$B$37)+$B$15)</f>
        <v>181.17014501273763</v>
      </c>
      <c r="D63" s="25">
        <f>E57/$B$12</f>
        <v>184.79354791299238</v>
      </c>
      <c r="E63" s="25">
        <f>F57/$B$12</f>
        <v>188.48941887125221</v>
      </c>
      <c r="F63" s="25"/>
    </row>
    <row r="64" spans="1:8" x14ac:dyDescent="0.25">
      <c r="A64" s="25" t="s">
        <v>199</v>
      </c>
      <c r="B64" s="26"/>
      <c r="C64" s="108">
        <f>C63*$B$15</f>
        <v>199.28715951401142</v>
      </c>
      <c r="D64" s="108">
        <f>D63*$B$15</f>
        <v>203.27290270429162</v>
      </c>
      <c r="E64" s="108">
        <f>E63*$B$15</f>
        <v>207.33836075837746</v>
      </c>
      <c r="F64" s="108"/>
    </row>
    <row r="65" spans="1:7" x14ac:dyDescent="0.25">
      <c r="A65" s="29" t="s">
        <v>146</v>
      </c>
      <c r="B65" s="26"/>
      <c r="C65" s="29">
        <f>C63-($B$19*C126)*C149</f>
        <v>92.232073824666443</v>
      </c>
      <c r="D65" s="29">
        <f>E59/$B$13</f>
        <v>94.076715301159766</v>
      </c>
      <c r="E65" s="29">
        <f>F59/$B$13</f>
        <v>95.95824960718295</v>
      </c>
      <c r="F65" s="27"/>
      <c r="G65" s="109"/>
    </row>
    <row r="66" spans="1:7" x14ac:dyDescent="0.25">
      <c r="A66" s="25" t="s">
        <v>147</v>
      </c>
      <c r="B66" s="26"/>
      <c r="C66" s="25">
        <f>C64-C65</f>
        <v>107.05508568934498</v>
      </c>
      <c r="D66" s="25">
        <f>D64-D65</f>
        <v>109.19618740313186</v>
      </c>
      <c r="E66" s="25">
        <f>E64-E65</f>
        <v>111.38011115119451</v>
      </c>
      <c r="F66" s="25"/>
      <c r="G66" s="109"/>
    </row>
    <row r="67" spans="1:7" x14ac:dyDescent="0.25">
      <c r="A67" s="27" t="s">
        <v>217</v>
      </c>
      <c r="B67" s="26"/>
      <c r="C67" s="27">
        <f>C63-($B$19*C126)*C149-C65</f>
        <v>0</v>
      </c>
      <c r="D67" s="27"/>
      <c r="E67" s="27"/>
      <c r="F67" s="27"/>
      <c r="G67" s="109"/>
    </row>
    <row r="68" spans="1:7" x14ac:dyDescent="0.25">
      <c r="A68" s="27" t="s">
        <v>216</v>
      </c>
      <c r="B68" s="26"/>
      <c r="C68" s="27">
        <f>C64-($B$19*C126)*C149-C65</f>
        <v>18.117014501273786</v>
      </c>
      <c r="D68" s="27"/>
      <c r="E68" s="27"/>
      <c r="F68" s="27"/>
      <c r="G68" s="105"/>
    </row>
    <row r="69" spans="1:7" x14ac:dyDescent="0.25">
      <c r="A69" s="119"/>
      <c r="B69" s="107"/>
      <c r="C69" s="119"/>
      <c r="D69" s="119"/>
      <c r="E69" s="119"/>
      <c r="F69" s="119"/>
      <c r="G69" s="105"/>
    </row>
    <row r="70" spans="1:7" x14ac:dyDescent="0.25">
      <c r="A70" s="31" t="s">
        <v>225</v>
      </c>
      <c r="B70" s="32"/>
      <c r="C70" s="32"/>
      <c r="D70" s="32"/>
      <c r="E70" s="32"/>
      <c r="F70" s="32"/>
      <c r="G70" s="105"/>
    </row>
    <row r="71" spans="1:7" x14ac:dyDescent="0.25">
      <c r="A71" s="33" t="s">
        <v>78</v>
      </c>
      <c r="B71" s="34"/>
      <c r="C71" s="34"/>
      <c r="D71" s="34"/>
      <c r="E71" s="33">
        <f>D77*$B$12</f>
        <v>3.9630607913554892</v>
      </c>
      <c r="F71" s="33">
        <f>(1+$B$11)*E71</f>
        <v>4.0423220071825989</v>
      </c>
      <c r="G71" s="105"/>
    </row>
    <row r="72" spans="1:7" x14ac:dyDescent="0.25">
      <c r="A72" s="33" t="s">
        <v>79</v>
      </c>
      <c r="B72" s="34"/>
      <c r="C72" s="34"/>
      <c r="D72" s="34"/>
      <c r="E72" s="33">
        <f>$B$10*E71</f>
        <v>0.59445911870332335</v>
      </c>
      <c r="F72" s="33">
        <f>$B$10*F71</f>
        <v>0.6063483010773898</v>
      </c>
      <c r="G72" s="105"/>
    </row>
    <row r="73" spans="1:7" x14ac:dyDescent="0.25">
      <c r="A73" s="35" t="s">
        <v>80</v>
      </c>
      <c r="B73" s="34"/>
      <c r="C73" s="34"/>
      <c r="D73" s="32"/>
      <c r="E73" s="35">
        <f>D79*$B$13</f>
        <v>1.5852243165421955</v>
      </c>
      <c r="F73" s="35">
        <f>F71/$B$17</f>
        <v>1.6169288028730395</v>
      </c>
      <c r="G73" s="105"/>
    </row>
    <row r="74" spans="1:7" x14ac:dyDescent="0.25">
      <c r="A74" s="31" t="s">
        <v>81</v>
      </c>
      <c r="B74" s="34"/>
      <c r="C74" s="34"/>
      <c r="D74" s="32"/>
      <c r="E74" s="31">
        <f>E71-E72-E73</f>
        <v>1.7833773561099704</v>
      </c>
      <c r="F74" s="31">
        <f>F71-F72-F73</f>
        <v>1.8190449032321696</v>
      </c>
      <c r="G74" s="105"/>
    </row>
    <row r="75" spans="1:7" x14ac:dyDescent="0.25">
      <c r="A75" s="31" t="s">
        <v>82</v>
      </c>
      <c r="B75" s="34"/>
      <c r="C75" s="34"/>
      <c r="D75" s="32"/>
      <c r="E75" s="31">
        <f>(1-$B$18)*E74</f>
        <v>1.4267018848879764</v>
      </c>
      <c r="F75" s="31">
        <f>(1-$B$18)*F74</f>
        <v>1.4552359225857359</v>
      </c>
      <c r="G75" s="105"/>
    </row>
    <row r="76" spans="1:7" x14ac:dyDescent="0.25">
      <c r="A76" s="31" t="s">
        <v>83</v>
      </c>
      <c r="B76" s="34"/>
      <c r="C76" s="34"/>
      <c r="D76" s="32"/>
      <c r="E76" s="31">
        <f>$B$18*E74</f>
        <v>0.35667547122199411</v>
      </c>
      <c r="F76" s="31">
        <f>$B$18*F74</f>
        <v>0.36380898064643397</v>
      </c>
      <c r="G76" s="105"/>
    </row>
    <row r="77" spans="1:7" x14ac:dyDescent="0.25">
      <c r="A77" s="32" t="s">
        <v>202</v>
      </c>
      <c r="B77" s="34"/>
      <c r="C77" s="34"/>
      <c r="D77" s="31">
        <f>(D33+D49+D62+(D36-C36)+(D52-C52)+(D65-C65))*($B$35/$B$37)/((1-$B$15)*($B$35/$B$37)+$B$15)</f>
        <v>56.615154162221266</v>
      </c>
      <c r="E77" s="31">
        <f>F71/$B$12</f>
        <v>57.747457245465696</v>
      </c>
      <c r="F77" s="31"/>
      <c r="G77" s="105"/>
    </row>
    <row r="78" spans="1:7" x14ac:dyDescent="0.25">
      <c r="A78" s="31" t="s">
        <v>201</v>
      </c>
      <c r="B78" s="34"/>
      <c r="C78" s="33"/>
      <c r="D78" s="110">
        <f>D77*$B$15</f>
        <v>62.276669578443396</v>
      </c>
      <c r="E78" s="110">
        <f>E77*$B$15</f>
        <v>63.522202970012273</v>
      </c>
      <c r="F78" s="110"/>
      <c r="G78" s="105"/>
    </row>
    <row r="79" spans="1:7" x14ac:dyDescent="0.25">
      <c r="A79" s="35" t="s">
        <v>85</v>
      </c>
      <c r="B79" s="34"/>
      <c r="C79" s="32"/>
      <c r="D79" s="35">
        <f>D77-(D33+D49+D62+(D36-C36)+(D52-C52)+(D65-C65))</f>
        <v>28.822260300767191</v>
      </c>
      <c r="E79" s="35">
        <f>F73/$B$13</f>
        <v>29.398705506782537</v>
      </c>
      <c r="F79" s="33"/>
      <c r="G79" s="105"/>
    </row>
    <row r="80" spans="1:7" x14ac:dyDescent="0.25">
      <c r="A80" s="31" t="s">
        <v>86</v>
      </c>
      <c r="B80" s="34"/>
      <c r="C80" s="33"/>
      <c r="D80" s="31">
        <f>D78-D79</f>
        <v>33.454409277676206</v>
      </c>
      <c r="E80" s="31">
        <f>E78-E79</f>
        <v>34.123497463229739</v>
      </c>
      <c r="F80" s="31"/>
      <c r="G80" s="105"/>
    </row>
    <row r="81" spans="1:7" x14ac:dyDescent="0.25">
      <c r="A81" s="31" t="s">
        <v>217</v>
      </c>
      <c r="B81" s="32"/>
      <c r="C81" s="31"/>
      <c r="D81" s="31">
        <f>D77-(D33+D49+D62+(D36-C36)+(D52-C52)+(D65-C65))-D79</f>
        <v>0</v>
      </c>
      <c r="E81" s="31"/>
      <c r="F81" s="31"/>
      <c r="G81" s="105"/>
    </row>
    <row r="82" spans="1:7" x14ac:dyDescent="0.25">
      <c r="A82" s="32" t="s">
        <v>216</v>
      </c>
      <c r="B82" s="34"/>
      <c r="C82" s="34"/>
      <c r="D82" s="31">
        <f>D78-(D33+D49+D62+(D36-C36)+(D52-C52)+(D65-C65))-D79</f>
        <v>5.6615154162221302</v>
      </c>
      <c r="E82" s="32"/>
      <c r="F82" s="32"/>
      <c r="G82" s="105"/>
    </row>
    <row r="83" spans="1:7" x14ac:dyDescent="0.25">
      <c r="A83" s="31" t="s">
        <v>148</v>
      </c>
      <c r="B83" s="32"/>
      <c r="C83" s="32"/>
      <c r="D83" s="32"/>
      <c r="E83" s="32"/>
      <c r="F83" s="32"/>
      <c r="G83" s="105"/>
    </row>
    <row r="84" spans="1:7" x14ac:dyDescent="0.25">
      <c r="A84" s="33" t="s">
        <v>78</v>
      </c>
      <c r="B84" s="34"/>
      <c r="C84" s="34"/>
      <c r="D84" s="34"/>
      <c r="E84" s="33">
        <f>D90*$B$12</f>
        <v>14.969640195469138</v>
      </c>
      <c r="F84" s="33">
        <f>(1+$B$11)*E84</f>
        <v>15.269032999378521</v>
      </c>
      <c r="G84" s="105"/>
    </row>
    <row r="85" spans="1:7" x14ac:dyDescent="0.25">
      <c r="A85" s="33" t="s">
        <v>79</v>
      </c>
      <c r="B85" s="34"/>
      <c r="C85" s="34"/>
      <c r="D85" s="34"/>
      <c r="E85" s="33">
        <f>$B$10*E84</f>
        <v>2.2454460293203704</v>
      </c>
      <c r="F85" s="33">
        <f>$B$10*F84</f>
        <v>2.2903549499067779</v>
      </c>
      <c r="G85" s="105"/>
    </row>
    <row r="86" spans="1:7" x14ac:dyDescent="0.25">
      <c r="A86" s="35" t="s">
        <v>80</v>
      </c>
      <c r="B86" s="34"/>
      <c r="C86" s="34"/>
      <c r="D86" s="32"/>
      <c r="E86" s="35">
        <f>D92*$B$13</f>
        <v>5.9878560781876553</v>
      </c>
      <c r="F86" s="35">
        <f>F84/$B$17</f>
        <v>6.107613199751408</v>
      </c>
      <c r="G86" s="105"/>
    </row>
    <row r="87" spans="1:7" x14ac:dyDescent="0.25">
      <c r="A87" s="31" t="s">
        <v>81</v>
      </c>
      <c r="B87" s="34"/>
      <c r="C87" s="34"/>
      <c r="D87" s="32"/>
      <c r="E87" s="31">
        <f>E84-E85-E86</f>
        <v>6.7363380879611112</v>
      </c>
      <c r="F87" s="31">
        <f>F84-F85-F86</f>
        <v>6.8710648497203346</v>
      </c>
      <c r="G87" s="105"/>
    </row>
    <row r="88" spans="1:7" x14ac:dyDescent="0.25">
      <c r="A88" s="31" t="s">
        <v>82</v>
      </c>
      <c r="B88" s="34"/>
      <c r="C88" s="34"/>
      <c r="D88" s="32"/>
      <c r="E88" s="31">
        <f>(1-$B$18)*E87</f>
        <v>5.389070470368889</v>
      </c>
      <c r="F88" s="31">
        <f>(1-$B$18)*F87</f>
        <v>5.4968518797762682</v>
      </c>
      <c r="G88" s="105"/>
    </row>
    <row r="89" spans="1:7" x14ac:dyDescent="0.25">
      <c r="A89" s="31" t="s">
        <v>83</v>
      </c>
      <c r="B89" s="34"/>
      <c r="C89" s="34"/>
      <c r="D89" s="32"/>
      <c r="E89" s="31">
        <f>$B$18*E87</f>
        <v>1.3472676175922222</v>
      </c>
      <c r="F89" s="31">
        <f>$B$18*F87</f>
        <v>1.3742129699440671</v>
      </c>
      <c r="G89" s="105"/>
    </row>
    <row r="90" spans="1:7" x14ac:dyDescent="0.25">
      <c r="A90" s="32" t="s">
        <v>204</v>
      </c>
      <c r="B90" s="34"/>
      <c r="C90" s="34"/>
      <c r="D90" s="31">
        <f>($B$19*D126)*D149*($B$35/$B$37)/((1-$B$15)*($B$35/$B$37)+$B$15)</f>
        <v>213.85200279241624</v>
      </c>
      <c r="E90" s="31">
        <f>F84/$B$12</f>
        <v>218.12904284826456</v>
      </c>
      <c r="F90" s="31"/>
      <c r="G90" s="105"/>
    </row>
    <row r="91" spans="1:7" x14ac:dyDescent="0.25">
      <c r="A91" s="31" t="s">
        <v>203</v>
      </c>
      <c r="B91" s="34"/>
      <c r="C91" s="33"/>
      <c r="D91" s="110">
        <f>D90*$B$15</f>
        <v>235.23720307165789</v>
      </c>
      <c r="E91" s="110">
        <f>E90*$B$15</f>
        <v>239.94194713309105</v>
      </c>
      <c r="F91" s="110"/>
      <c r="G91" s="105"/>
    </row>
    <row r="92" spans="1:7" x14ac:dyDescent="0.25">
      <c r="A92" s="35" t="s">
        <v>154</v>
      </c>
      <c r="B92" s="34"/>
      <c r="C92" s="32"/>
      <c r="D92" s="35">
        <f>D90-($B$19*D126)*D149</f>
        <v>108.87011051250282</v>
      </c>
      <c r="E92" s="35">
        <f>F86/$B$13</f>
        <v>111.04751272275287</v>
      </c>
      <c r="F92" s="33"/>
      <c r="G92" s="105"/>
    </row>
    <row r="93" spans="1:7" x14ac:dyDescent="0.25">
      <c r="A93" s="31" t="s">
        <v>155</v>
      </c>
      <c r="B93" s="34"/>
      <c r="C93" s="33"/>
      <c r="D93" s="31">
        <f>D91-D92</f>
        <v>126.36709255915507</v>
      </c>
      <c r="E93" s="31">
        <f>E91-E92</f>
        <v>128.89443441033819</v>
      </c>
      <c r="F93" s="31"/>
      <c r="G93" s="105"/>
    </row>
    <row r="94" spans="1:7" x14ac:dyDescent="0.25">
      <c r="A94" s="33" t="s">
        <v>217</v>
      </c>
      <c r="B94" s="34"/>
      <c r="C94" s="32"/>
      <c r="D94" s="33">
        <f>D90-($B$19*D126)*D149-D92</f>
        <v>0</v>
      </c>
      <c r="E94" s="33"/>
      <c r="F94" s="33"/>
      <c r="G94" s="105"/>
    </row>
    <row r="95" spans="1:7" x14ac:dyDescent="0.25">
      <c r="A95" s="32" t="s">
        <v>216</v>
      </c>
      <c r="B95" s="32"/>
      <c r="C95" s="32"/>
      <c r="D95" s="31">
        <f>D91-($B$19*D126)*D149-D92</f>
        <v>21.385200279241658</v>
      </c>
      <c r="E95" s="32"/>
      <c r="F95" s="32"/>
      <c r="G95" s="105"/>
    </row>
    <row r="97" spans="1:6" x14ac:dyDescent="0.25">
      <c r="A97" s="120" t="s">
        <v>224</v>
      </c>
      <c r="B97" s="121"/>
      <c r="C97" s="121"/>
      <c r="D97" s="121"/>
      <c r="E97" s="121"/>
      <c r="F97" s="121"/>
    </row>
    <row r="98" spans="1:6" x14ac:dyDescent="0.25">
      <c r="A98" s="122" t="s">
        <v>228</v>
      </c>
      <c r="B98" s="123"/>
      <c r="C98" s="123"/>
      <c r="D98" s="123"/>
      <c r="E98" s="122"/>
      <c r="F98" s="122">
        <f>E104*$B$12</f>
        <v>4.6779699125365415</v>
      </c>
    </row>
    <row r="99" spans="1:6" x14ac:dyDescent="0.25">
      <c r="A99" s="122" t="s">
        <v>229</v>
      </c>
      <c r="B99" s="123"/>
      <c r="C99" s="123"/>
      <c r="D99" s="123"/>
      <c r="E99" s="122"/>
      <c r="F99" s="122">
        <f>$B$10*F98</f>
        <v>0.70169548688048122</v>
      </c>
    </row>
    <row r="100" spans="1:6" x14ac:dyDescent="0.25">
      <c r="A100" s="124" t="s">
        <v>230</v>
      </c>
      <c r="B100" s="123"/>
      <c r="C100" s="123"/>
      <c r="D100" s="121"/>
      <c r="E100" s="124"/>
      <c r="F100" s="124">
        <f>E106*$B$13</f>
        <v>1.871187965014617</v>
      </c>
    </row>
    <row r="101" spans="1:6" x14ac:dyDescent="0.25">
      <c r="A101" s="120" t="s">
        <v>231</v>
      </c>
      <c r="B101" s="123"/>
      <c r="C101" s="123"/>
      <c r="D101" s="121"/>
      <c r="E101" s="120"/>
      <c r="F101" s="120">
        <f>F98-F99-F100</f>
        <v>2.1050864606414432</v>
      </c>
    </row>
    <row r="102" spans="1:6" x14ac:dyDescent="0.25">
      <c r="A102" s="120" t="s">
        <v>232</v>
      </c>
      <c r="B102" s="123"/>
      <c r="C102" s="123"/>
      <c r="D102" s="121"/>
      <c r="E102" s="120"/>
      <c r="F102" s="120">
        <f>(1-$B$18)*F101</f>
        <v>1.6840691685131546</v>
      </c>
    </row>
    <row r="103" spans="1:6" x14ac:dyDescent="0.25">
      <c r="A103" s="120" t="s">
        <v>233</v>
      </c>
      <c r="B103" s="123"/>
      <c r="C103" s="123"/>
      <c r="D103" s="121"/>
      <c r="E103" s="120"/>
      <c r="F103" s="120">
        <f>$B$18*F101</f>
        <v>0.42101729212828864</v>
      </c>
    </row>
    <row r="104" spans="1:6" x14ac:dyDescent="0.25">
      <c r="A104" s="121" t="s">
        <v>234</v>
      </c>
      <c r="B104" s="123"/>
      <c r="C104" s="123"/>
      <c r="D104" s="120"/>
      <c r="E104" s="120">
        <f>(E33+E49+E62+E76+E89+(E36-D36)+(E52-D52)+(E65-D65)+(E79-D79)+(E92-D92))*($B$35/$B$37)/((1-$B$15)*($B$35/$B$37)+$B$15)</f>
        <v>66.828141607664875</v>
      </c>
      <c r="F104" s="120"/>
    </row>
    <row r="105" spans="1:6" x14ac:dyDescent="0.25">
      <c r="A105" s="120" t="s">
        <v>235</v>
      </c>
      <c r="B105" s="123"/>
      <c r="C105" s="122"/>
      <c r="D105" s="125"/>
      <c r="E105" s="125">
        <f>E104*$B$15</f>
        <v>73.510955768431373</v>
      </c>
      <c r="F105" s="125"/>
    </row>
    <row r="106" spans="1:6" x14ac:dyDescent="0.25">
      <c r="A106" s="124" t="s">
        <v>236</v>
      </c>
      <c r="B106" s="123"/>
      <c r="C106" s="121"/>
      <c r="D106" s="124"/>
      <c r="E106" s="124">
        <f>E104-(E33+E49+E62+E76+E89+(E36-D36)+(E52-D52)+(E65-D65)+(E79-D79)+(E92-D92))</f>
        <v>34.021599363902126</v>
      </c>
      <c r="F106" s="122"/>
    </row>
    <row r="107" spans="1:6" x14ac:dyDescent="0.25">
      <c r="A107" s="120" t="s">
        <v>237</v>
      </c>
      <c r="B107" s="123"/>
      <c r="C107" s="122"/>
      <c r="D107" s="120"/>
      <c r="E107" s="120">
        <f>E105-E106</f>
        <v>39.489356404529246</v>
      </c>
      <c r="F107" s="120"/>
    </row>
    <row r="108" spans="1:6" x14ac:dyDescent="0.25">
      <c r="A108" s="120" t="s">
        <v>217</v>
      </c>
      <c r="B108" s="121"/>
      <c r="C108" s="120"/>
      <c r="D108" s="120"/>
      <c r="E108" s="120">
        <f>E104-(E33+E49+E62+E76+E89+(E36-D36)+(E52-D52)+(E65-D65)+(E79-D79)+(E92-D92))-E106</f>
        <v>0</v>
      </c>
      <c r="F108" s="120"/>
    </row>
    <row r="109" spans="1:6" x14ac:dyDescent="0.25">
      <c r="A109" s="121" t="s">
        <v>216</v>
      </c>
      <c r="B109" s="123"/>
      <c r="C109" s="123"/>
      <c r="D109" s="120"/>
      <c r="E109" s="120">
        <f>E105-(E33+E49+E62+E76+E89+(E36-D36)+(E52-D52)+(E65-D65)+(E79-D79)+(E92-D92))-E106</f>
        <v>6.6828141607664975</v>
      </c>
      <c r="F109" s="121"/>
    </row>
    <row r="110" spans="1:6" x14ac:dyDescent="0.25">
      <c r="A110" s="120" t="s">
        <v>227</v>
      </c>
      <c r="B110" s="121"/>
      <c r="C110" s="121"/>
      <c r="D110" s="121"/>
      <c r="E110" s="121"/>
      <c r="F110" s="121"/>
    </row>
    <row r="111" spans="1:6" x14ac:dyDescent="0.25">
      <c r="A111" s="122" t="s">
        <v>228</v>
      </c>
      <c r="B111" s="123"/>
      <c r="C111" s="123"/>
      <c r="D111" s="123"/>
      <c r="E111" s="122"/>
      <c r="F111" s="122">
        <f>E117*$B$12</f>
        <v>17.670061127664596</v>
      </c>
    </row>
    <row r="112" spans="1:6" x14ac:dyDescent="0.25">
      <c r="A112" s="122" t="s">
        <v>229</v>
      </c>
      <c r="B112" s="123"/>
      <c r="C112" s="123"/>
      <c r="D112" s="123"/>
      <c r="E112" s="122"/>
      <c r="F112" s="122">
        <f>$B$10*F111</f>
        <v>2.6505091691496894</v>
      </c>
    </row>
    <row r="113" spans="1:6" x14ac:dyDescent="0.25">
      <c r="A113" s="124" t="s">
        <v>230</v>
      </c>
      <c r="B113" s="123"/>
      <c r="C113" s="123"/>
      <c r="D113" s="121"/>
      <c r="E113" s="124"/>
      <c r="F113" s="124">
        <f>E119*$B$13</f>
        <v>7.0680244510658401</v>
      </c>
    </row>
    <row r="114" spans="1:6" x14ac:dyDescent="0.25">
      <c r="A114" s="120" t="s">
        <v>231</v>
      </c>
      <c r="B114" s="123"/>
      <c r="C114" s="123"/>
      <c r="D114" s="121"/>
      <c r="E114" s="120"/>
      <c r="F114" s="120">
        <f>F111-F112-F113</f>
        <v>7.9515275074490663</v>
      </c>
    </row>
    <row r="115" spans="1:6" x14ac:dyDescent="0.25">
      <c r="A115" s="120" t="s">
        <v>232</v>
      </c>
      <c r="B115" s="123"/>
      <c r="C115" s="123"/>
      <c r="D115" s="121"/>
      <c r="E115" s="120"/>
      <c r="F115" s="120">
        <f>(1-$B$18)*F114</f>
        <v>6.3612220059592532</v>
      </c>
    </row>
    <row r="116" spans="1:6" x14ac:dyDescent="0.25">
      <c r="A116" s="120" t="s">
        <v>233</v>
      </c>
      <c r="B116" s="123"/>
      <c r="C116" s="123"/>
      <c r="D116" s="121"/>
      <c r="E116" s="120"/>
      <c r="F116" s="120">
        <f>$B$18*F114</f>
        <v>1.5903055014898133</v>
      </c>
    </row>
    <row r="117" spans="1:6" x14ac:dyDescent="0.25">
      <c r="A117" s="121" t="s">
        <v>238</v>
      </c>
      <c r="B117" s="123"/>
      <c r="C117" s="123"/>
      <c r="D117" s="120"/>
      <c r="E117" s="120">
        <f>($B$19*E126)*E149*($B$35/$B$37)/((1-$B$15)*($B$35/$B$37)+$B$15)</f>
        <v>252.42944468092278</v>
      </c>
      <c r="F117" s="120"/>
    </row>
    <row r="118" spans="1:6" x14ac:dyDescent="0.25">
      <c r="A118" s="120" t="s">
        <v>239</v>
      </c>
      <c r="B118" s="123"/>
      <c r="C118" s="122"/>
      <c r="D118" s="125"/>
      <c r="E118" s="125">
        <f>E117*$B$15</f>
        <v>277.67238914901509</v>
      </c>
      <c r="F118" s="125"/>
    </row>
    <row r="119" spans="1:6" x14ac:dyDescent="0.25">
      <c r="A119" s="124" t="s">
        <v>240</v>
      </c>
      <c r="B119" s="123"/>
      <c r="C119" s="121"/>
      <c r="D119" s="124"/>
      <c r="E119" s="124">
        <f>E117-($B$19*E126)*E149</f>
        <v>128.50953547392436</v>
      </c>
      <c r="F119" s="122"/>
    </row>
    <row r="120" spans="1:6" x14ac:dyDescent="0.25">
      <c r="A120" s="120" t="s">
        <v>241</v>
      </c>
      <c r="B120" s="123"/>
      <c r="C120" s="122"/>
      <c r="D120" s="120"/>
      <c r="E120" s="120">
        <f>E118-E119</f>
        <v>149.16285367509073</v>
      </c>
      <c r="F120" s="120"/>
    </row>
    <row r="121" spans="1:6" x14ac:dyDescent="0.25">
      <c r="A121" s="122" t="s">
        <v>217</v>
      </c>
      <c r="B121" s="123"/>
      <c r="C121" s="121"/>
      <c r="D121" s="122"/>
      <c r="E121" s="122">
        <f>E117-($B$19*E126)*E149-E119</f>
        <v>0</v>
      </c>
      <c r="F121" s="122"/>
    </row>
    <row r="122" spans="1:6" x14ac:dyDescent="0.25">
      <c r="A122" s="121" t="s">
        <v>216</v>
      </c>
      <c r="B122" s="121"/>
      <c r="C122" s="121"/>
      <c r="D122" s="120"/>
      <c r="E122" s="120">
        <f>E118-($B$19*E126)*E149-E119</f>
        <v>25.242944468092276</v>
      </c>
      <c r="F122" s="121"/>
    </row>
    <row r="123" spans="1:6" ht="13.8" thickBot="1" x14ac:dyDescent="0.3">
      <c r="A123" s="38"/>
      <c r="B123" s="38"/>
      <c r="C123" s="38"/>
      <c r="D123" s="38"/>
      <c r="E123" s="38"/>
      <c r="F123" s="116"/>
    </row>
    <row r="124" spans="1:6" ht="14.4" thickTop="1" thickBot="1" x14ac:dyDescent="0.3"/>
    <row r="125" spans="1:6" x14ac:dyDescent="0.25">
      <c r="A125" s="67" t="s">
        <v>131</v>
      </c>
      <c r="B125" s="68"/>
      <c r="C125" s="68"/>
      <c r="D125" s="68"/>
      <c r="E125" s="68"/>
      <c r="F125" s="69"/>
    </row>
    <row r="126" spans="1:6" s="85" customFormat="1" x14ac:dyDescent="0.25">
      <c r="A126" s="83" t="s">
        <v>138</v>
      </c>
      <c r="B126" s="84"/>
      <c r="C126" s="86">
        <f>B127</f>
        <v>10</v>
      </c>
      <c r="D126" s="86">
        <f>C127</f>
        <v>11</v>
      </c>
      <c r="E126" s="117">
        <f>D127</f>
        <v>12.100000000000001</v>
      </c>
      <c r="F126" s="129">
        <f>E127</f>
        <v>13.310000000000002</v>
      </c>
    </row>
    <row r="127" spans="1:6" s="85" customFormat="1" x14ac:dyDescent="0.25">
      <c r="A127" s="83" t="s">
        <v>137</v>
      </c>
      <c r="B127" s="86">
        <f>B14</f>
        <v>10</v>
      </c>
      <c r="C127" s="84">
        <f>(1+$B$19)*C126</f>
        <v>11</v>
      </c>
      <c r="D127" s="84">
        <f>(1+$B$19)*D126</f>
        <v>12.100000000000001</v>
      </c>
      <c r="E127" s="128">
        <f>(1+$B$19)*E126</f>
        <v>13.310000000000002</v>
      </c>
      <c r="F127" s="130"/>
    </row>
    <row r="128" spans="1:6" x14ac:dyDescent="0.25">
      <c r="A128" s="70" t="s">
        <v>90</v>
      </c>
      <c r="B128" s="59"/>
      <c r="C128" s="63">
        <f>C24+C44+C57+C71+C84</f>
        <v>100</v>
      </c>
      <c r="D128" s="63">
        <f>D24+D44+D57+D71+D84</f>
        <v>118.03931755829905</v>
      </c>
      <c r="E128" s="61">
        <f>E24+E44+E57+E71+E84</f>
        <v>139.33280489628964</v>
      </c>
      <c r="F128" s="75">
        <f>F24+F44+F57+F71+F84+F98+F111</f>
        <v>164.46749203441658</v>
      </c>
    </row>
    <row r="129" spans="1:6" x14ac:dyDescent="0.25">
      <c r="A129" s="74" t="s">
        <v>91</v>
      </c>
      <c r="B129" s="60"/>
      <c r="C129" s="61"/>
      <c r="D129" s="62">
        <f>(D128/C128)-1</f>
        <v>0.18039317558299039</v>
      </c>
      <c r="E129" s="62">
        <f>(E128/D128)-1</f>
        <v>0.18039317558299039</v>
      </c>
      <c r="F129" s="76">
        <f>(F128/E128)-1</f>
        <v>0.18039317558299039</v>
      </c>
    </row>
    <row r="130" spans="1:6" x14ac:dyDescent="0.25">
      <c r="A130" s="74" t="s">
        <v>149</v>
      </c>
      <c r="B130" s="60"/>
      <c r="C130" s="61">
        <f>C128/C126</f>
        <v>10</v>
      </c>
      <c r="D130" s="61">
        <f>D128/D126</f>
        <v>10.730847050754459</v>
      </c>
      <c r="E130" s="61">
        <f>E128/E126</f>
        <v>11.515107842668565</v>
      </c>
      <c r="F130" s="75">
        <f>F128/F126</f>
        <v>12.35668610326195</v>
      </c>
    </row>
    <row r="131" spans="1:6" x14ac:dyDescent="0.25">
      <c r="A131" s="72" t="s">
        <v>91</v>
      </c>
      <c r="B131" s="64"/>
      <c r="C131" s="64"/>
      <c r="D131" s="65">
        <f>(D130/C130)-1</f>
        <v>7.3084705075445955E-2</v>
      </c>
      <c r="E131" s="65">
        <f>(E130/D130)-1</f>
        <v>7.3084705075445733E-2</v>
      </c>
      <c r="F131" s="73">
        <f>(F130/E130)-1</f>
        <v>7.3084705075445733E-2</v>
      </c>
    </row>
    <row r="132" spans="1:6" x14ac:dyDescent="0.25">
      <c r="A132" s="74" t="s">
        <v>150</v>
      </c>
      <c r="B132" s="60"/>
      <c r="C132" s="61">
        <f>C31+C47</f>
        <v>45</v>
      </c>
      <c r="D132" s="61">
        <f>D31+D47+D60+D74+D87</f>
        <v>53.117692901234577</v>
      </c>
      <c r="E132" s="61">
        <f>E31+E47+E60+E74+E87</f>
        <v>62.699762203330344</v>
      </c>
      <c r="F132" s="75">
        <f>F31+F47+F60+F74+F87+F101+F114</f>
        <v>74.010371415487455</v>
      </c>
    </row>
    <row r="133" spans="1:6" x14ac:dyDescent="0.25">
      <c r="A133" s="74" t="s">
        <v>91</v>
      </c>
      <c r="B133" s="60"/>
      <c r="C133" s="61"/>
      <c r="D133" s="62">
        <f>(D132/C132)-1</f>
        <v>0.18039317558299062</v>
      </c>
      <c r="E133" s="62">
        <f>(E132/D132)-1</f>
        <v>0.18039317558299039</v>
      </c>
      <c r="F133" s="76">
        <f>(F132/E132)-1</f>
        <v>0.18039317558299039</v>
      </c>
    </row>
    <row r="134" spans="1:6" x14ac:dyDescent="0.25">
      <c r="A134" s="74" t="s">
        <v>151</v>
      </c>
      <c r="B134" s="60"/>
      <c r="C134" s="61">
        <f>C132/C126</f>
        <v>4.5</v>
      </c>
      <c r="D134" s="61">
        <f>D132/D126</f>
        <v>4.8288811728395071</v>
      </c>
      <c r="E134" s="61">
        <f>E132/E126</f>
        <v>5.1817985292008544</v>
      </c>
      <c r="F134" s="75">
        <f>F132/F126</f>
        <v>5.5605087464678773</v>
      </c>
    </row>
    <row r="135" spans="1:6" x14ac:dyDescent="0.25">
      <c r="A135" s="74" t="s">
        <v>91</v>
      </c>
      <c r="B135" s="60"/>
      <c r="C135" s="60"/>
      <c r="D135" s="62">
        <f>(D134/C134)-1</f>
        <v>7.3084705075445955E-2</v>
      </c>
      <c r="E135" s="65">
        <f>(E134/D134)-1</f>
        <v>7.3084705075445511E-2</v>
      </c>
      <c r="F135" s="73">
        <f>(F134/E134)-1</f>
        <v>7.3084705075445733E-2</v>
      </c>
    </row>
    <row r="136" spans="1:6" x14ac:dyDescent="0.25">
      <c r="A136" s="70" t="s">
        <v>92</v>
      </c>
      <c r="B136" s="59"/>
      <c r="C136" s="63">
        <f>C32+C48+C61+C75+C88</f>
        <v>36</v>
      </c>
      <c r="D136" s="63">
        <f>D32+D48+D61+D75+D88</f>
        <v>42.494154320987661</v>
      </c>
      <c r="E136" s="61">
        <f>E32+E48+E61+E75+E88</f>
        <v>50.159809762664281</v>
      </c>
      <c r="F136" s="75">
        <f>F32+F48+F61+F75+F88+F102+F115</f>
        <v>59.208297132389966</v>
      </c>
    </row>
    <row r="137" spans="1:6" x14ac:dyDescent="0.25">
      <c r="A137" s="74" t="s">
        <v>91</v>
      </c>
      <c r="B137" s="60"/>
      <c r="C137" s="61"/>
      <c r="D137" s="62">
        <f>(D136/C136)-1</f>
        <v>0.18039317558299062</v>
      </c>
      <c r="E137" s="62">
        <f>(E136/D136)-1</f>
        <v>0.18039317558299039</v>
      </c>
      <c r="F137" s="76">
        <f>(F136/E136)-1</f>
        <v>0.18039317558299017</v>
      </c>
    </row>
    <row r="138" spans="1:6" x14ac:dyDescent="0.25">
      <c r="A138" s="74" t="s">
        <v>152</v>
      </c>
      <c r="B138" s="60"/>
      <c r="C138" s="61">
        <f>C136/C126</f>
        <v>3.6</v>
      </c>
      <c r="D138" s="61">
        <f>D136/D126</f>
        <v>3.8631049382716056</v>
      </c>
      <c r="E138" s="61">
        <f>E136/E126</f>
        <v>4.145438823360684</v>
      </c>
      <c r="F138" s="75">
        <f>F136/F126</f>
        <v>4.4484069971743017</v>
      </c>
    </row>
    <row r="139" spans="1:6" x14ac:dyDescent="0.25">
      <c r="A139" s="72" t="s">
        <v>91</v>
      </c>
      <c r="B139" s="64"/>
      <c r="C139" s="64"/>
      <c r="D139" s="65">
        <f>(D138/C138)-1</f>
        <v>7.3084705075445955E-2</v>
      </c>
      <c r="E139" s="65">
        <f>(E138/D138)-1</f>
        <v>7.3084705075445733E-2</v>
      </c>
      <c r="F139" s="73">
        <f>(F138/E138)-1</f>
        <v>7.3084705075445511E-2</v>
      </c>
    </row>
    <row r="140" spans="1:6" x14ac:dyDescent="0.25">
      <c r="A140" s="74" t="s">
        <v>256</v>
      </c>
      <c r="B140" s="61">
        <f>B34</f>
        <v>1428.5714285714284</v>
      </c>
      <c r="C140" s="61">
        <f>C34+C50</f>
        <v>1505.1058201058199</v>
      </c>
      <c r="D140" s="61">
        <f>D34+D50+D63+D77</f>
        <v>1776.61663858315</v>
      </c>
      <c r="E140" s="61">
        <f>E34+E50+E63+E77+E90+E104</f>
        <v>2097.1061558107426</v>
      </c>
      <c r="F140" s="76"/>
    </row>
    <row r="141" spans="1:6" x14ac:dyDescent="0.25">
      <c r="A141" s="74" t="s">
        <v>192</v>
      </c>
      <c r="B141" s="61">
        <f>B35</f>
        <v>1571.4285714285713</v>
      </c>
      <c r="C141" s="61">
        <f>C35+C51</f>
        <v>1655.616402116402</v>
      </c>
      <c r="D141" s="61">
        <f>D35+D51+D64+D78</f>
        <v>1954.2783024414655</v>
      </c>
      <c r="E141" s="61">
        <f>E35+E51+E64+E78+E91+E105</f>
        <v>2306.8167713918169</v>
      </c>
      <c r="F141" s="76"/>
    </row>
    <row r="142" spans="1:6" x14ac:dyDescent="0.25">
      <c r="A142" s="74" t="s">
        <v>91</v>
      </c>
      <c r="B142" s="60"/>
      <c r="C142" s="62"/>
      <c r="D142" s="62">
        <f>D141/C141-1</f>
        <v>0.18039317558299062</v>
      </c>
      <c r="E142" s="62">
        <f>E141/D141-1</f>
        <v>0.18039317558299017</v>
      </c>
      <c r="F142" s="76"/>
    </row>
    <row r="143" spans="1:6" x14ac:dyDescent="0.25">
      <c r="A143" s="74" t="s">
        <v>193</v>
      </c>
      <c r="B143" s="60"/>
      <c r="C143" s="61">
        <f>C35+C51+C64</f>
        <v>1854.9035616304134</v>
      </c>
      <c r="D143" s="61">
        <f>D35+D51+D64+D78+D91</f>
        <v>2189.5155055131236</v>
      </c>
      <c r="E143" s="61">
        <f>E35+E51+E64+E78+E91+E105+E118</f>
        <v>2584.489160540832</v>
      </c>
      <c r="F143" s="76"/>
    </row>
    <row r="144" spans="1:6" x14ac:dyDescent="0.25">
      <c r="A144" s="72" t="s">
        <v>91</v>
      </c>
      <c r="B144" s="64"/>
      <c r="C144" s="65"/>
      <c r="D144" s="65">
        <f>D143/C143-1</f>
        <v>0.18039317558299084</v>
      </c>
      <c r="E144" s="65">
        <f>E143/D143-1</f>
        <v>0.18039317558299017</v>
      </c>
      <c r="F144" s="76"/>
    </row>
    <row r="145" spans="1:7" x14ac:dyDescent="0.25">
      <c r="A145" s="112" t="s">
        <v>257</v>
      </c>
      <c r="B145" s="135">
        <f>B36</f>
        <v>727.27272727272725</v>
      </c>
      <c r="C145" s="135">
        <f>C36+C52</f>
        <v>766.23569023569019</v>
      </c>
      <c r="D145" s="135">
        <f>D36+D52+D65+D79</f>
        <v>904.45937964233099</v>
      </c>
      <c r="E145" s="135">
        <f>E36+E52+E65+E79+E92+E106</f>
        <v>1067.6176793218326</v>
      </c>
      <c r="F145" s="76"/>
    </row>
    <row r="146" spans="1:7" x14ac:dyDescent="0.25">
      <c r="A146" s="74" t="s">
        <v>262</v>
      </c>
      <c r="B146" s="61">
        <f>B140-B145</f>
        <v>701.29870129870119</v>
      </c>
      <c r="C146" s="61">
        <f>C140-C145</f>
        <v>738.87012987012974</v>
      </c>
      <c r="D146" s="61">
        <f>D140-D145</f>
        <v>872.15725894081902</v>
      </c>
      <c r="E146" s="61">
        <f>E140-E145</f>
        <v>1029.48847648891</v>
      </c>
      <c r="F146" s="76"/>
    </row>
    <row r="147" spans="1:7" x14ac:dyDescent="0.25">
      <c r="A147" s="74" t="s">
        <v>261</v>
      </c>
      <c r="B147" s="61">
        <f>B37</f>
        <v>844.15584415584408</v>
      </c>
      <c r="C147" s="61">
        <f>C37+C53</f>
        <v>889.38071188071194</v>
      </c>
      <c r="D147" s="61">
        <f>D37+D53+D66+D80</f>
        <v>1049.8189227991343</v>
      </c>
      <c r="E147" s="61">
        <f>E37+E53+E66+E80+E93+E107</f>
        <v>1239.1990920699843</v>
      </c>
      <c r="F147" s="75"/>
    </row>
    <row r="148" spans="1:7" x14ac:dyDescent="0.25">
      <c r="A148" s="74" t="s">
        <v>263</v>
      </c>
      <c r="B148" s="137">
        <f>B147/B146</f>
        <v>1.2037037037037037</v>
      </c>
      <c r="C148" s="137">
        <f>C147/C146</f>
        <v>1.2037037037037039</v>
      </c>
      <c r="D148" s="137">
        <f>D147/D146</f>
        <v>1.2037037037037039</v>
      </c>
      <c r="E148" s="137">
        <f>E147/E146</f>
        <v>1.2037037037037037</v>
      </c>
      <c r="F148" s="75"/>
    </row>
    <row r="149" spans="1:7" x14ac:dyDescent="0.25">
      <c r="A149" s="74" t="s">
        <v>368</v>
      </c>
      <c r="B149" s="61">
        <f>B147/B127</f>
        <v>84.415584415584405</v>
      </c>
      <c r="C149" s="61">
        <f>C147/C126</f>
        <v>88.938071188071191</v>
      </c>
      <c r="D149" s="61">
        <f>D147/D126</f>
        <v>95.438083890830384</v>
      </c>
      <c r="E149" s="61">
        <f>E147/E126</f>
        <v>102.41314810495737</v>
      </c>
      <c r="F149" s="87"/>
    </row>
    <row r="150" spans="1:7" x14ac:dyDescent="0.25">
      <c r="A150" s="74" t="s">
        <v>91</v>
      </c>
      <c r="B150" s="60"/>
      <c r="C150" s="62">
        <f>C149/B149-1</f>
        <v>5.3574074074074218E-2</v>
      </c>
      <c r="D150" s="62">
        <f>D149/C149-1</f>
        <v>7.3084705075445955E-2</v>
      </c>
      <c r="E150" s="62">
        <f>E149/D149-1</f>
        <v>7.3084705075445733E-2</v>
      </c>
      <c r="F150" s="87"/>
      <c r="G150" t="s">
        <v>278</v>
      </c>
    </row>
    <row r="151" spans="1:7" x14ac:dyDescent="0.25">
      <c r="A151" s="74" t="s">
        <v>218</v>
      </c>
      <c r="B151" s="60"/>
      <c r="C151" s="61">
        <f>C55+C68</f>
        <v>22.913310797570077</v>
      </c>
      <c r="D151" s="61">
        <f>D82+D95</f>
        <v>27.046715695463789</v>
      </c>
      <c r="E151" s="61">
        <f>E109+E122</f>
        <v>31.925758628858773</v>
      </c>
      <c r="F151" s="87"/>
    </row>
    <row r="152" spans="1:7" x14ac:dyDescent="0.25">
      <c r="A152" s="74" t="s">
        <v>220</v>
      </c>
      <c r="B152" s="60"/>
      <c r="C152" s="61">
        <f>C68</f>
        <v>18.117014501273786</v>
      </c>
      <c r="D152" s="61">
        <f>D95</f>
        <v>21.385200279241658</v>
      </c>
      <c r="E152" s="61">
        <f>E122</f>
        <v>25.242944468092276</v>
      </c>
      <c r="F152" s="87"/>
    </row>
    <row r="153" spans="1:7" x14ac:dyDescent="0.25">
      <c r="A153" s="74" t="s">
        <v>370</v>
      </c>
      <c r="B153" s="61"/>
      <c r="C153" s="61">
        <f>C37+C53+C66</f>
        <v>996.43579757005693</v>
      </c>
      <c r="D153" s="61">
        <f>D37+D53+D66+D80+D93</f>
        <v>1176.1860153582893</v>
      </c>
      <c r="E153" s="61">
        <f>E37+E53+E66+E80+E93+E107+E120</f>
        <v>1388.361945745075</v>
      </c>
      <c r="F153" s="75"/>
      <c r="G153" s="8"/>
    </row>
    <row r="154" spans="1:7" x14ac:dyDescent="0.25">
      <c r="A154" s="74" t="s">
        <v>91</v>
      </c>
      <c r="B154" s="61"/>
      <c r="C154" s="61"/>
      <c r="D154" s="62">
        <f>D153/C153-1</f>
        <v>0.18039317558299039</v>
      </c>
      <c r="E154" s="62">
        <f>E153/D153-1</f>
        <v>0.18039317558299039</v>
      </c>
      <c r="F154" s="75"/>
    </row>
    <row r="155" spans="1:7" x14ac:dyDescent="0.25">
      <c r="A155" s="74" t="s">
        <v>141</v>
      </c>
      <c r="B155" s="61"/>
      <c r="C155" s="61">
        <f>C153/C127</f>
        <v>90.585072506368817</v>
      </c>
      <c r="D155" s="61">
        <f>D153/D127</f>
        <v>97.205455814734634</v>
      </c>
      <c r="E155" s="61">
        <f>E153/E127</f>
        <v>104.30968788467879</v>
      </c>
      <c r="F155" s="75"/>
    </row>
    <row r="156" spans="1:7" x14ac:dyDescent="0.25">
      <c r="A156" s="74" t="s">
        <v>91</v>
      </c>
      <c r="B156" s="60"/>
      <c r="C156" s="62"/>
      <c r="D156" s="62">
        <f>D155/C155-1</f>
        <v>7.3084705075445511E-2</v>
      </c>
      <c r="E156" s="62">
        <f>E155/D155-1</f>
        <v>7.3084705075445733E-2</v>
      </c>
      <c r="F156" s="76"/>
    </row>
    <row r="157" spans="1:7" x14ac:dyDescent="0.25">
      <c r="A157" s="74" t="s">
        <v>219</v>
      </c>
      <c r="B157" s="61"/>
      <c r="C157" s="61">
        <f>(C155-C149)*C127</f>
        <v>18.117014501273886</v>
      </c>
      <c r="D157" s="61">
        <f>(D155-D149)*D127</f>
        <v>21.385200279241424</v>
      </c>
      <c r="E157" s="61">
        <f>(E155-E149)*E127</f>
        <v>25.242944468092134</v>
      </c>
      <c r="F157" s="131"/>
      <c r="G157" t="s">
        <v>221</v>
      </c>
    </row>
    <row r="158" spans="1:7" x14ac:dyDescent="0.25">
      <c r="A158" s="70" t="s">
        <v>132</v>
      </c>
      <c r="B158" s="66"/>
      <c r="C158" s="66">
        <f>D134/C155</f>
        <v>5.3307692307692313E-2</v>
      </c>
      <c r="D158" s="66">
        <f>E134/D155</f>
        <v>5.3307692307692313E-2</v>
      </c>
      <c r="E158" s="66">
        <f>F134/E155</f>
        <v>5.3307692307692306E-2</v>
      </c>
      <c r="F158" s="76"/>
    </row>
    <row r="159" spans="1:7" x14ac:dyDescent="0.25">
      <c r="A159" s="74" t="s">
        <v>98</v>
      </c>
      <c r="B159" s="62"/>
      <c r="C159" s="62">
        <f>D138/C155</f>
        <v>4.2646153846153848E-2</v>
      </c>
      <c r="D159" s="62">
        <f>E138/D155</f>
        <v>4.2646153846153854E-2</v>
      </c>
      <c r="E159" s="62">
        <f>F138/E155</f>
        <v>4.2646153846153848E-2</v>
      </c>
      <c r="F159" s="136"/>
    </row>
    <row r="160" spans="1:7" x14ac:dyDescent="0.25">
      <c r="A160" s="74" t="s">
        <v>354</v>
      </c>
      <c r="B160" s="62"/>
      <c r="C160" s="166">
        <f>C155/C134</f>
        <v>20.130016112526405</v>
      </c>
      <c r="D160" s="166">
        <f>D155/D134</f>
        <v>20.130016112526395</v>
      </c>
      <c r="E160" s="166">
        <f>E155/E134</f>
        <v>20.130016112526398</v>
      </c>
      <c r="F160" s="136"/>
      <c r="G160" t="s">
        <v>358</v>
      </c>
    </row>
    <row r="161" spans="1:7" x14ac:dyDescent="0.25">
      <c r="A161" s="74" t="s">
        <v>355</v>
      </c>
      <c r="B161" s="62"/>
      <c r="C161" s="166">
        <f>C155/C138</f>
        <v>25.162520140658003</v>
      </c>
      <c r="D161" s="166">
        <f>D155/D138</f>
        <v>25.162520140657993</v>
      </c>
      <c r="E161" s="166">
        <f>E155/E138</f>
        <v>25.162520140657996</v>
      </c>
      <c r="F161" s="136"/>
      <c r="G161" t="s">
        <v>356</v>
      </c>
    </row>
    <row r="162" spans="1:7" x14ac:dyDescent="0.25">
      <c r="A162" s="74" t="s">
        <v>352</v>
      </c>
      <c r="B162" s="62"/>
      <c r="C162" s="166">
        <f>C155/D134</f>
        <v>18.759018759018758</v>
      </c>
      <c r="D162" s="166">
        <f>D155/E134</f>
        <v>18.759018759018758</v>
      </c>
      <c r="E162" s="166">
        <f>E155/F134</f>
        <v>18.759018759018758</v>
      </c>
      <c r="F162" s="76"/>
      <c r="G162" t="s">
        <v>361</v>
      </c>
    </row>
    <row r="163" spans="1:7" x14ac:dyDescent="0.25">
      <c r="A163" s="72" t="s">
        <v>353</v>
      </c>
      <c r="B163" s="64"/>
      <c r="C163" s="167">
        <f>C155/D138</f>
        <v>23.448773448773448</v>
      </c>
      <c r="D163" s="167">
        <f>D155/E138</f>
        <v>23.448773448773444</v>
      </c>
      <c r="E163" s="167">
        <f>E155/F138</f>
        <v>23.448773448773451</v>
      </c>
      <c r="F163" s="78"/>
      <c r="G163" t="s">
        <v>356</v>
      </c>
    </row>
    <row r="164" spans="1:7" x14ac:dyDescent="0.25">
      <c r="A164" s="74" t="s">
        <v>260</v>
      </c>
      <c r="B164" s="62">
        <f>B145/B140</f>
        <v>0.50909090909090915</v>
      </c>
      <c r="C164" s="62">
        <f>C145/C140</f>
        <v>0.50909090909090915</v>
      </c>
      <c r="D164" s="62">
        <f>D145/D140</f>
        <v>0.50909090909090915</v>
      </c>
      <c r="E164" s="62">
        <f>E145/E140</f>
        <v>0.50909090909090904</v>
      </c>
      <c r="F164" s="136"/>
    </row>
    <row r="165" spans="1:7" x14ac:dyDescent="0.25">
      <c r="A165" s="74" t="s">
        <v>259</v>
      </c>
      <c r="B165" s="62">
        <f>B145/B141</f>
        <v>0.46280991735537191</v>
      </c>
      <c r="C165" s="62">
        <f>C145/C141</f>
        <v>0.46280991735537191</v>
      </c>
      <c r="D165" s="62">
        <f>D145/D141</f>
        <v>0.4628099173553718</v>
      </c>
      <c r="E165" s="62">
        <f>E145/E141</f>
        <v>0.46280991735537191</v>
      </c>
      <c r="F165" s="136"/>
    </row>
    <row r="166" spans="1:7" x14ac:dyDescent="0.25">
      <c r="A166" s="74" t="s">
        <v>258</v>
      </c>
      <c r="B166" s="62">
        <f>B36/B35</f>
        <v>0.46280991735537191</v>
      </c>
      <c r="C166" s="62">
        <f>(C36+C52+C65)/(C35+C51+C64)</f>
        <v>0.46280991735537191</v>
      </c>
      <c r="D166" s="62">
        <f>(D36+D52+D65+D79+D92)/(D35+D51+D64+D78+D91)</f>
        <v>0.4628099173553718</v>
      </c>
      <c r="E166" s="62">
        <f>(E36+E52+E65+E79+E92)/(E35+E51+E64+E78+E91)</f>
        <v>0.46280991735537186</v>
      </c>
      <c r="F166" s="76"/>
    </row>
    <row r="167" spans="1:7" x14ac:dyDescent="0.25">
      <c r="A167" s="74" t="s">
        <v>162</v>
      </c>
      <c r="B167" s="60"/>
      <c r="C167" s="118">
        <f>C24/C30</f>
        <v>2.5</v>
      </c>
      <c r="D167" s="118">
        <f>(D24+D44+D57)/(D30+D46+D59)</f>
        <v>2.5000000000000004</v>
      </c>
      <c r="E167" s="118">
        <f>(E24+E44+E57)/(E30+E46+E59)</f>
        <v>2.5000000000000004</v>
      </c>
      <c r="F167" s="132">
        <f>(F24+F44+F57)/(F30+F46+F59)</f>
        <v>2.5</v>
      </c>
    </row>
    <row r="168" spans="1:7" x14ac:dyDescent="0.25">
      <c r="A168" s="72" t="s">
        <v>245</v>
      </c>
      <c r="B168" s="64"/>
      <c r="C168" s="127">
        <f>-C155</f>
        <v>-90.585072506368817</v>
      </c>
      <c r="D168" s="127">
        <f>D138</f>
        <v>3.8631049382716056</v>
      </c>
      <c r="E168" s="127">
        <f>E138+E155</f>
        <v>108.45512670803947</v>
      </c>
      <c r="F168" s="138" t="s">
        <v>133</v>
      </c>
      <c r="G168" s="82">
        <f>IRR(C168:E168)</f>
        <v>0.11573085892159951</v>
      </c>
    </row>
    <row r="169" spans="1:7" x14ac:dyDescent="0.25">
      <c r="A169" s="74" t="s">
        <v>244</v>
      </c>
      <c r="B169" s="61"/>
      <c r="C169" s="61">
        <f>-C149</f>
        <v>-88.938071188071191</v>
      </c>
      <c r="D169" s="61">
        <f>D138</f>
        <v>3.8631049382716056</v>
      </c>
      <c r="E169" s="61">
        <f>E138+E149</f>
        <v>106.55858692831805</v>
      </c>
      <c r="F169" s="133" t="s">
        <v>133</v>
      </c>
      <c r="G169" s="82">
        <f>IRR(C169:E169)</f>
        <v>0.116520602511343</v>
      </c>
    </row>
    <row r="170" spans="1:7" ht="13.8" thickBot="1" x14ac:dyDescent="0.3">
      <c r="A170" s="79" t="s">
        <v>246</v>
      </c>
      <c r="B170" s="134"/>
      <c r="C170" s="80">
        <f>-C155</f>
        <v>-90.585072506368817</v>
      </c>
      <c r="D170" s="80">
        <f>E138</f>
        <v>4.145438823360684</v>
      </c>
      <c r="E170" s="80">
        <f>E138+E149</f>
        <v>106.55858692831805</v>
      </c>
      <c r="F170" s="81" t="s">
        <v>133</v>
      </c>
      <c r="G170" s="82">
        <f>IRR(C170:E170)</f>
        <v>0.10771358446327794</v>
      </c>
    </row>
    <row r="171" spans="1:7" x14ac:dyDescent="0.25">
      <c r="A171" s="146" t="s">
        <v>271</v>
      </c>
      <c r="B171" s="68"/>
      <c r="C171" s="147">
        <f>D138/($H$17-$H$21)</f>
        <v>90.585072506368817</v>
      </c>
      <c r="D171" s="147">
        <f>E138/($H$17-$H$21)</f>
        <v>97.205455814734648</v>
      </c>
      <c r="E171" s="147">
        <f>F138/($H$17-$H$21)</f>
        <v>104.30968788467878</v>
      </c>
      <c r="F171" s="69"/>
      <c r="G171" t="s">
        <v>350</v>
      </c>
    </row>
    <row r="172" spans="1:7" x14ac:dyDescent="0.25">
      <c r="A172" s="148" t="s">
        <v>272</v>
      </c>
      <c r="B172" s="60"/>
      <c r="C172" s="61">
        <f>D134/($H$16-$H$20)</f>
        <v>90.585072506368817</v>
      </c>
      <c r="D172" s="61">
        <f>E134/($H$16-$H$20)</f>
        <v>97.205455814734634</v>
      </c>
      <c r="E172" s="61">
        <f>F134/($H$16-$H$20)</f>
        <v>104.30968788467878</v>
      </c>
      <c r="F172" s="136"/>
      <c r="G172" t="s">
        <v>351</v>
      </c>
    </row>
    <row r="173" spans="1:7" x14ac:dyDescent="0.25">
      <c r="A173" s="148" t="s">
        <v>273</v>
      </c>
      <c r="B173" s="60"/>
      <c r="C173" s="61">
        <f>(D31+D47)/C126</f>
        <v>4.741083333333334</v>
      </c>
      <c r="D173" s="61">
        <f>(E31+E47+E60+E74)/D126</f>
        <v>5.0875840104881123</v>
      </c>
      <c r="E173" s="61">
        <f>(F31+F47+F60+F74+F87+F101)/E126</f>
        <v>5.459408587441188</v>
      </c>
      <c r="F173" s="136"/>
    </row>
    <row r="174" spans="1:7" x14ac:dyDescent="0.25">
      <c r="A174" s="148" t="s">
        <v>274</v>
      </c>
      <c r="B174" s="60"/>
      <c r="C174" s="61">
        <f>D60/(C127-C126)</f>
        <v>5.7068595679012368</v>
      </c>
      <c r="D174" s="61">
        <f>E87/(D127-D126)</f>
        <v>6.1239437163282746</v>
      </c>
      <c r="E174" s="61">
        <f>F114/(E127-E126)</f>
        <v>6.5715103367347609</v>
      </c>
      <c r="F174" s="136" t="s">
        <v>410</v>
      </c>
    </row>
    <row r="175" spans="1:7" ht="13.8" thickBot="1" x14ac:dyDescent="0.3">
      <c r="A175" s="149" t="s">
        <v>276</v>
      </c>
      <c r="B175" s="134"/>
      <c r="C175" s="150">
        <f>C174/C173</f>
        <v>1.2037037037037039</v>
      </c>
      <c r="D175" s="150">
        <f>D174/D173</f>
        <v>1.2037037037037019</v>
      </c>
      <c r="E175" s="150">
        <f>E174/E173</f>
        <v>1.2037037037037033</v>
      </c>
      <c r="F175" s="151" t="s">
        <v>277</v>
      </c>
    </row>
    <row r="177" spans="4:5" x14ac:dyDescent="0.25">
      <c r="D177" s="17"/>
      <c r="E177" s="17"/>
    </row>
  </sheetData>
  <phoneticPr fontId="2" type="noConversion"/>
  <pageMargins left="0.75" right="0.75" top="1" bottom="1"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5"/>
  <sheetViews>
    <sheetView workbookViewId="0"/>
  </sheetViews>
  <sheetFormatPr defaultRowHeight="13.2" x14ac:dyDescent="0.25"/>
  <cols>
    <col min="1" max="1" width="47.33203125" customWidth="1"/>
    <col min="2" max="2" width="11.5546875" customWidth="1"/>
    <col min="4" max="5" width="9.6640625" customWidth="1"/>
    <col min="7" max="7" width="38.88671875" customWidth="1"/>
    <col min="9" max="9" width="12.44140625" customWidth="1"/>
    <col min="13" max="13" width="10" customWidth="1"/>
  </cols>
  <sheetData>
    <row r="1" spans="1:27" x14ac:dyDescent="0.25">
      <c r="A1" s="93" t="s">
        <v>414</v>
      </c>
    </row>
    <row r="2" spans="1:27" x14ac:dyDescent="0.25">
      <c r="A2" t="s">
        <v>280</v>
      </c>
    </row>
    <row r="3" spans="1:27" x14ac:dyDescent="0.25">
      <c r="A3" t="s">
        <v>288</v>
      </c>
    </row>
    <row r="4" spans="1:27" x14ac:dyDescent="0.25">
      <c r="A4" t="s">
        <v>289</v>
      </c>
    </row>
    <row r="5" spans="1:27" x14ac:dyDescent="0.25">
      <c r="A5" t="s">
        <v>327</v>
      </c>
    </row>
    <row r="6" spans="1:27" ht="13.8" thickBot="1" x14ac:dyDescent="0.3"/>
    <row r="7" spans="1:27" x14ac:dyDescent="0.25">
      <c r="A7" s="92" t="s">
        <v>108</v>
      </c>
      <c r="B7" s="39"/>
      <c r="G7" s="94" t="s">
        <v>109</v>
      </c>
      <c r="H7" s="47"/>
      <c r="I7" s="47"/>
      <c r="J7" s="47" t="s">
        <v>251</v>
      </c>
      <c r="K7" s="47"/>
      <c r="L7" s="47"/>
      <c r="M7" s="48"/>
    </row>
    <row r="8" spans="1:27" x14ac:dyDescent="0.25">
      <c r="A8" s="139" t="s">
        <v>264</v>
      </c>
      <c r="B8" s="44"/>
      <c r="G8" s="49" t="s">
        <v>183</v>
      </c>
      <c r="H8" s="50">
        <f>C26/B34</f>
        <v>6.8000000000000005E-2</v>
      </c>
      <c r="I8" s="54" t="s">
        <v>185</v>
      </c>
      <c r="J8" s="51"/>
      <c r="K8" s="51"/>
      <c r="L8" s="51"/>
      <c r="M8" s="52"/>
    </row>
    <row r="9" spans="1:27" x14ac:dyDescent="0.25">
      <c r="A9" s="40" t="s">
        <v>61</v>
      </c>
      <c r="B9" s="41">
        <f>Analyzer!B3</f>
        <v>100</v>
      </c>
      <c r="G9" s="49" t="s">
        <v>182</v>
      </c>
      <c r="H9" s="50">
        <f>C26/B35</f>
        <v>7.5555555555555556E-2</v>
      </c>
      <c r="I9" s="54" t="s">
        <v>184</v>
      </c>
      <c r="J9" s="51" t="s">
        <v>186</v>
      </c>
      <c r="K9" s="51"/>
      <c r="L9" s="51"/>
      <c r="M9" s="52"/>
    </row>
    <row r="10" spans="1:27" x14ac:dyDescent="0.25">
      <c r="A10" s="40" t="s">
        <v>62</v>
      </c>
      <c r="B10" s="43">
        <f>Analyzer!B4</f>
        <v>0.15</v>
      </c>
      <c r="G10" s="49" t="s">
        <v>207</v>
      </c>
      <c r="H10" s="50">
        <f>C31/B37</f>
        <v>8.8301886792452822E-2</v>
      </c>
      <c r="I10" s="54" t="s">
        <v>187</v>
      </c>
      <c r="J10" s="51" t="s">
        <v>296</v>
      </c>
      <c r="K10" s="51"/>
      <c r="L10" s="51"/>
      <c r="M10" s="52"/>
    </row>
    <row r="11" spans="1:27" x14ac:dyDescent="0.25">
      <c r="A11" s="40" t="s">
        <v>64</v>
      </c>
      <c r="B11" s="43">
        <f>Analyzer!B5</f>
        <v>0.02</v>
      </c>
      <c r="G11" s="49" t="s">
        <v>101</v>
      </c>
      <c r="H11" s="50">
        <f>D159</f>
        <v>0.1124528301886794</v>
      </c>
      <c r="I11" s="54" t="s">
        <v>205</v>
      </c>
      <c r="J11" s="51" t="s">
        <v>103</v>
      </c>
      <c r="K11" s="51"/>
      <c r="L11" s="51"/>
      <c r="M11" s="52"/>
    </row>
    <row r="12" spans="1:27" x14ac:dyDescent="0.25">
      <c r="A12" s="40" t="s">
        <v>102</v>
      </c>
      <c r="B12" s="43">
        <f>Analyzer!B6</f>
        <v>0.08</v>
      </c>
      <c r="G12" s="49" t="s">
        <v>206</v>
      </c>
      <c r="H12" s="50">
        <f>C31/(-B38)</f>
        <v>7.0909090909090908E-2</v>
      </c>
      <c r="I12" s="54" t="s">
        <v>208</v>
      </c>
      <c r="J12" s="51" t="s">
        <v>250</v>
      </c>
      <c r="K12" s="51"/>
      <c r="L12" s="51"/>
      <c r="M12" s="52"/>
    </row>
    <row r="13" spans="1:27" x14ac:dyDescent="0.25">
      <c r="A13" s="40" t="s">
        <v>63</v>
      </c>
      <c r="B13" s="43">
        <f>Analyzer!B7</f>
        <v>6.5000000000000002E-2</v>
      </c>
      <c r="G13" s="49" t="s">
        <v>188</v>
      </c>
      <c r="H13" s="50">
        <f>IRR(B28:E28)</f>
        <v>8.7999999999999856E-2</v>
      </c>
      <c r="I13" s="54" t="s">
        <v>189</v>
      </c>
      <c r="J13" s="51"/>
      <c r="K13" s="51"/>
      <c r="L13" s="51"/>
      <c r="M13" s="52"/>
    </row>
    <row r="14" spans="1:27" x14ac:dyDescent="0.25">
      <c r="A14" s="40" t="s">
        <v>134</v>
      </c>
      <c r="B14" s="182">
        <f>Analyzer!B8</f>
        <v>10</v>
      </c>
      <c r="G14" s="49" t="s">
        <v>223</v>
      </c>
      <c r="H14" s="50">
        <f>IRR(B29:E29)</f>
        <v>9.5555555557578664E-2</v>
      </c>
      <c r="I14" s="54" t="s">
        <v>310</v>
      </c>
      <c r="J14" s="51" t="s">
        <v>186</v>
      </c>
      <c r="K14" s="51"/>
      <c r="L14" s="51"/>
      <c r="M14" s="52"/>
    </row>
    <row r="15" spans="1:27" x14ac:dyDescent="0.25">
      <c r="A15" s="141" t="s">
        <v>177</v>
      </c>
      <c r="B15" s="43">
        <f>1-Analyzer!B9</f>
        <v>0.9</v>
      </c>
      <c r="C15" s="55" t="s">
        <v>311</v>
      </c>
      <c r="G15" s="49" t="s">
        <v>181</v>
      </c>
      <c r="H15" s="50">
        <f>IRR(B38:E38)</f>
        <v>0.11030303030303013</v>
      </c>
      <c r="I15" s="54" t="s">
        <v>190</v>
      </c>
      <c r="J15" s="51" t="s">
        <v>296</v>
      </c>
      <c r="K15" s="51"/>
      <c r="L15" s="51"/>
      <c r="M15" s="52"/>
    </row>
    <row r="16" spans="1:27" x14ac:dyDescent="0.25">
      <c r="A16" s="139" t="s">
        <v>265</v>
      </c>
      <c r="B16" s="44"/>
      <c r="G16" s="152" t="s">
        <v>180</v>
      </c>
      <c r="H16" s="153">
        <f>IRR(B39:E39)</f>
        <v>0.13245283018827014</v>
      </c>
      <c r="I16" s="154" t="s">
        <v>191</v>
      </c>
      <c r="J16" s="155" t="s">
        <v>295</v>
      </c>
      <c r="K16" s="155"/>
      <c r="L16" s="155"/>
      <c r="M16" s="156"/>
      <c r="N16" s="157"/>
      <c r="O16" s="157"/>
      <c r="P16" s="157"/>
      <c r="Q16" s="157"/>
      <c r="R16" s="157"/>
      <c r="S16" s="157"/>
      <c r="T16" s="157"/>
      <c r="U16" s="157"/>
      <c r="V16" s="157"/>
      <c r="W16" s="157"/>
      <c r="X16" s="157"/>
      <c r="Y16" s="157"/>
      <c r="Z16" s="157"/>
      <c r="AA16" s="158"/>
    </row>
    <row r="17" spans="1:27" x14ac:dyDescent="0.25">
      <c r="A17" s="40" t="s">
        <v>266</v>
      </c>
      <c r="B17" s="44">
        <f>Analyzer!B11</f>
        <v>2.5</v>
      </c>
      <c r="C17" t="s">
        <v>267</v>
      </c>
      <c r="G17" s="159" t="s">
        <v>243</v>
      </c>
      <c r="H17" s="160">
        <f>G168</f>
        <v>0.18268010291059511</v>
      </c>
      <c r="I17" s="161" t="s">
        <v>194</v>
      </c>
      <c r="J17" s="162" t="s">
        <v>247</v>
      </c>
      <c r="K17" s="162"/>
      <c r="L17" s="162"/>
      <c r="M17" s="163"/>
      <c r="N17" s="164"/>
      <c r="O17" s="164"/>
      <c r="P17" s="164"/>
      <c r="Q17" s="164"/>
      <c r="R17" s="164"/>
      <c r="S17" s="164"/>
      <c r="T17" s="164"/>
      <c r="U17" s="164"/>
      <c r="V17" s="164"/>
      <c r="W17" s="164"/>
      <c r="X17" s="164"/>
      <c r="Y17" s="164"/>
      <c r="Z17" s="164"/>
      <c r="AA17" s="165"/>
    </row>
    <row r="18" spans="1:27" x14ac:dyDescent="0.25">
      <c r="A18" s="40" t="s">
        <v>111</v>
      </c>
      <c r="B18" s="42">
        <f>0</f>
        <v>0</v>
      </c>
      <c r="C18" t="s">
        <v>290</v>
      </c>
      <c r="G18" s="49" t="s">
        <v>104</v>
      </c>
      <c r="H18" s="50">
        <f>H13-H8</f>
        <v>1.9999999999999851E-2</v>
      </c>
      <c r="I18" s="54" t="s">
        <v>209</v>
      </c>
      <c r="J18" s="51"/>
      <c r="K18" s="51"/>
      <c r="L18" s="51"/>
      <c r="M18" s="52"/>
    </row>
    <row r="19" spans="1:27" ht="13.8" thickBot="1" x14ac:dyDescent="0.3">
      <c r="A19" s="45" t="s">
        <v>135</v>
      </c>
      <c r="B19" s="46">
        <f>-Analyzer!B13</f>
        <v>-0.2</v>
      </c>
      <c r="C19" t="s">
        <v>291</v>
      </c>
      <c r="G19" s="49" t="s">
        <v>105</v>
      </c>
      <c r="H19" s="50">
        <f>H15-H12</f>
        <v>3.9393939393939217E-2</v>
      </c>
      <c r="I19" s="54" t="s">
        <v>210</v>
      </c>
      <c r="J19" s="51" t="s">
        <v>296</v>
      </c>
      <c r="K19" s="51"/>
      <c r="L19" s="51"/>
      <c r="M19" s="52"/>
    </row>
    <row r="20" spans="1:27" x14ac:dyDescent="0.25">
      <c r="G20" s="49" t="s">
        <v>105</v>
      </c>
      <c r="H20" s="50">
        <f>H16-H10</f>
        <v>4.4150943395817321E-2</v>
      </c>
      <c r="I20" s="54" t="s">
        <v>211</v>
      </c>
      <c r="J20" s="51" t="s">
        <v>295</v>
      </c>
      <c r="K20" s="51"/>
      <c r="L20" s="51"/>
      <c r="M20" s="52"/>
    </row>
    <row r="21" spans="1:27" x14ac:dyDescent="0.25">
      <c r="G21" s="49" t="s">
        <v>156</v>
      </c>
      <c r="H21" s="50">
        <f>H17-H11</f>
        <v>7.0227272721915715E-2</v>
      </c>
      <c r="I21" s="54" t="s">
        <v>254</v>
      </c>
      <c r="J21" s="51" t="s">
        <v>312</v>
      </c>
      <c r="K21" s="126"/>
      <c r="L21" s="51"/>
      <c r="M21" s="52"/>
    </row>
    <row r="22" spans="1:27" x14ac:dyDescent="0.25">
      <c r="A22" s="60" t="s">
        <v>195</v>
      </c>
      <c r="G22" s="49" t="s">
        <v>157</v>
      </c>
      <c r="H22" s="50">
        <f>E142</f>
        <v>-0.14381818181818196</v>
      </c>
      <c r="I22" s="51"/>
      <c r="J22" s="111">
        <f>H20+B18*H10</f>
        <v>4.4150943395817321E-2</v>
      </c>
      <c r="K22" s="54" t="s">
        <v>275</v>
      </c>
      <c r="L22" s="51"/>
      <c r="M22" s="52"/>
    </row>
    <row r="23" spans="1:27" x14ac:dyDescent="0.25">
      <c r="A23" s="1" t="s">
        <v>89</v>
      </c>
      <c r="B23">
        <v>0</v>
      </c>
      <c r="C23">
        <v>1</v>
      </c>
      <c r="D23">
        <v>2</v>
      </c>
      <c r="E23">
        <v>3</v>
      </c>
      <c r="F23">
        <v>4</v>
      </c>
      <c r="G23" s="49" t="s">
        <v>158</v>
      </c>
      <c r="H23" s="50">
        <f>E154</f>
        <v>-0.14381818181818218</v>
      </c>
      <c r="I23" s="51"/>
      <c r="J23" s="111"/>
      <c r="K23" s="54"/>
      <c r="L23" s="51"/>
      <c r="M23" s="52"/>
    </row>
    <row r="24" spans="1:27" s="8" customFormat="1" x14ac:dyDescent="0.25">
      <c r="A24" s="21" t="s">
        <v>118</v>
      </c>
      <c r="B24" s="21"/>
      <c r="C24" s="21">
        <f>B9</f>
        <v>100</v>
      </c>
      <c r="D24" s="21">
        <f>(1+$B$11)*C24</f>
        <v>102</v>
      </c>
      <c r="E24" s="21">
        <f>(1+$B$11)*D24</f>
        <v>104.04</v>
      </c>
      <c r="F24" s="21">
        <f>(1+$B$11)*E24</f>
        <v>106.1208</v>
      </c>
      <c r="G24" s="49" t="s">
        <v>161</v>
      </c>
      <c r="H24" s="96">
        <f>B166</f>
        <v>0.54700854700854695</v>
      </c>
      <c r="I24" s="51" t="s">
        <v>313</v>
      </c>
      <c r="J24" s="111"/>
      <c r="K24" s="54"/>
      <c r="L24" s="51"/>
      <c r="M24" s="104"/>
    </row>
    <row r="25" spans="1:27" s="8" customFormat="1" x14ac:dyDescent="0.25">
      <c r="A25" s="22" t="s">
        <v>119</v>
      </c>
      <c r="B25" s="22"/>
      <c r="C25" s="22">
        <f>$B$10*C24</f>
        <v>15</v>
      </c>
      <c r="D25" s="22">
        <f>$B$10*D24</f>
        <v>15.299999999999999</v>
      </c>
      <c r="E25" s="22">
        <f>$B$10*E24</f>
        <v>15.606</v>
      </c>
      <c r="F25" s="22">
        <f>$B$10*F24</f>
        <v>15.91812</v>
      </c>
      <c r="G25" s="103" t="s">
        <v>162</v>
      </c>
      <c r="H25" s="102">
        <f>C167</f>
        <v>2.5</v>
      </c>
      <c r="I25" s="101"/>
      <c r="J25" s="111"/>
      <c r="K25" s="101"/>
      <c r="L25" s="101"/>
      <c r="M25" s="104"/>
    </row>
    <row r="26" spans="1:27" s="8" customFormat="1" x14ac:dyDescent="0.25">
      <c r="A26" s="21" t="s">
        <v>65</v>
      </c>
      <c r="B26" s="21"/>
      <c r="C26" s="21">
        <f>C24-C25</f>
        <v>85</v>
      </c>
      <c r="D26" s="21">
        <f>D24-D25</f>
        <v>86.7</v>
      </c>
      <c r="E26" s="21">
        <f>E24-E25</f>
        <v>88.434000000000012</v>
      </c>
      <c r="F26" s="21">
        <f>F24-F25</f>
        <v>90.202680000000001</v>
      </c>
      <c r="G26" s="103" t="s">
        <v>179</v>
      </c>
      <c r="H26" s="204">
        <f>E148</f>
        <v>0.80303030303030298</v>
      </c>
      <c r="I26" s="205" t="s">
        <v>382</v>
      </c>
      <c r="J26" s="101"/>
      <c r="K26" s="101"/>
      <c r="L26" s="101"/>
      <c r="M26" s="104"/>
    </row>
    <row r="27" spans="1:27" s="8" customFormat="1" ht="13.8" thickBot="1" x14ac:dyDescent="0.3">
      <c r="A27" s="21" t="s">
        <v>66</v>
      </c>
      <c r="B27" s="21"/>
      <c r="C27" s="21"/>
      <c r="D27" s="21"/>
      <c r="E27" s="21">
        <f>F24/$B$12</f>
        <v>1326.51</v>
      </c>
      <c r="F27" s="21"/>
      <c r="G27" s="209" t="s">
        <v>383</v>
      </c>
      <c r="H27" s="210">
        <f>1/H26</f>
        <v>1.2452830188679247</v>
      </c>
      <c r="I27" s="213" t="s">
        <v>384</v>
      </c>
      <c r="J27" s="211"/>
      <c r="K27" s="211"/>
      <c r="L27" s="211"/>
      <c r="M27" s="212"/>
    </row>
    <row r="28" spans="1:27" s="8" customFormat="1" x14ac:dyDescent="0.25">
      <c r="A28" s="21" t="s">
        <v>178</v>
      </c>
      <c r="B28" s="21">
        <f>-C24/B12</f>
        <v>-1250</v>
      </c>
      <c r="C28" s="21">
        <f>SUM(C26:C27)</f>
        <v>85</v>
      </c>
      <c r="D28" s="21">
        <f>SUM(D26:D27)</f>
        <v>86.7</v>
      </c>
      <c r="E28" s="21">
        <f>SUM(E26:E27)</f>
        <v>1414.944</v>
      </c>
      <c r="F28" s="21"/>
    </row>
    <row r="29" spans="1:27" s="8" customFormat="1" x14ac:dyDescent="0.25">
      <c r="A29" s="21" t="s">
        <v>222</v>
      </c>
      <c r="B29" s="21">
        <f>B28*B15</f>
        <v>-1125</v>
      </c>
      <c r="C29" s="21">
        <f>C26</f>
        <v>85</v>
      </c>
      <c r="D29" s="21">
        <f>D26</f>
        <v>86.7</v>
      </c>
      <c r="E29" s="21">
        <f>E26+E27*B15</f>
        <v>1282.2929999999999</v>
      </c>
      <c r="F29" s="21"/>
    </row>
    <row r="30" spans="1:27" s="8" customFormat="1" x14ac:dyDescent="0.25">
      <c r="A30" s="22" t="s">
        <v>121</v>
      </c>
      <c r="B30" s="22"/>
      <c r="C30" s="22">
        <f>C24/$B$17</f>
        <v>40</v>
      </c>
      <c r="D30" s="22">
        <f>D24/$B$17</f>
        <v>40.799999999999997</v>
      </c>
      <c r="E30" s="22">
        <f>E24/$B$17</f>
        <v>41.616</v>
      </c>
      <c r="F30" s="22">
        <f>F24/$B$17</f>
        <v>42.448320000000002</v>
      </c>
    </row>
    <row r="31" spans="1:27" x14ac:dyDescent="0.25">
      <c r="A31" s="21" t="s">
        <v>122</v>
      </c>
      <c r="B31" s="23"/>
      <c r="C31" s="21">
        <f>C24-C30-C25</f>
        <v>45</v>
      </c>
      <c r="D31" s="21">
        <f>D24-D30-D25</f>
        <v>45.900000000000006</v>
      </c>
      <c r="E31" s="21">
        <f>E24-E30-E25</f>
        <v>46.818000000000005</v>
      </c>
      <c r="F31" s="21">
        <f>F24-F30-F25</f>
        <v>47.754359999999998</v>
      </c>
    </row>
    <row r="32" spans="1:27" x14ac:dyDescent="0.25">
      <c r="A32" s="21" t="s">
        <v>123</v>
      </c>
      <c r="B32" s="23"/>
      <c r="C32" s="21">
        <f>(1-$B$18)*C31+C36-B36</f>
        <v>57.307692307692264</v>
      </c>
      <c r="D32" s="21">
        <f>(1-$B$18)*D31+D36-C36</f>
        <v>58.453846153846143</v>
      </c>
      <c r="E32" s="21">
        <f>(1-$B$18)*E31+E36-D36</f>
        <v>59.622923076923144</v>
      </c>
      <c r="F32" s="21">
        <f>(1-$B$18)*F31</f>
        <v>47.754359999999998</v>
      </c>
    </row>
    <row r="33" spans="1:10" x14ac:dyDescent="0.25">
      <c r="A33" s="21" t="s">
        <v>124</v>
      </c>
      <c r="B33" s="23"/>
      <c r="C33" s="21">
        <f>$B$18*C31</f>
        <v>0</v>
      </c>
      <c r="D33" s="21">
        <f>$B$18*D31</f>
        <v>0</v>
      </c>
      <c r="E33" s="21">
        <f>$B$18*E31</f>
        <v>0</v>
      </c>
      <c r="F33" s="21">
        <f>$B$18*F31</f>
        <v>0</v>
      </c>
    </row>
    <row r="34" spans="1:10" x14ac:dyDescent="0.25">
      <c r="A34" s="23" t="s">
        <v>196</v>
      </c>
      <c r="B34" s="21">
        <f>C24/$B$12</f>
        <v>1250</v>
      </c>
      <c r="C34" s="21">
        <f>D24/$B$12</f>
        <v>1275</v>
      </c>
      <c r="D34" s="21">
        <f>E24/$B$12</f>
        <v>1300.5</v>
      </c>
      <c r="E34" s="21">
        <f>F24/$B$12</f>
        <v>1326.51</v>
      </c>
      <c r="F34" s="21"/>
      <c r="G34" s="106"/>
      <c r="H34" s="107"/>
    </row>
    <row r="35" spans="1:10" x14ac:dyDescent="0.25">
      <c r="A35" s="21"/>
      <c r="B35" s="21">
        <f>B34*$B$15</f>
        <v>1125</v>
      </c>
      <c r="C35" s="21">
        <f>C34*$B$15</f>
        <v>1147.5</v>
      </c>
      <c r="D35" s="21">
        <f>D34*$B$15</f>
        <v>1170.45</v>
      </c>
      <c r="E35" s="21">
        <f>E34*$B$15</f>
        <v>1193.8589999999999</v>
      </c>
      <c r="F35" s="21"/>
      <c r="G35" s="106"/>
      <c r="H35" s="106"/>
      <c r="I35" s="106"/>
      <c r="J35" s="107"/>
    </row>
    <row r="36" spans="1:10" x14ac:dyDescent="0.25">
      <c r="A36" s="22"/>
      <c r="B36" s="22">
        <f>C30/$B$13</f>
        <v>615.38461538461536</v>
      </c>
      <c r="C36" s="22">
        <f>D30/$B$13</f>
        <v>627.69230769230762</v>
      </c>
      <c r="D36" s="22">
        <f>E30/$B$13</f>
        <v>640.24615384615379</v>
      </c>
      <c r="E36" s="22">
        <f>F30/$B$13</f>
        <v>653.05107692307695</v>
      </c>
      <c r="F36" s="115"/>
      <c r="G36" s="109"/>
      <c r="H36" s="109"/>
      <c r="I36" s="109"/>
      <c r="J36" s="107"/>
    </row>
    <row r="37" spans="1:10" x14ac:dyDescent="0.25">
      <c r="A37" s="21" t="s">
        <v>127</v>
      </c>
      <c r="B37" s="21">
        <f>B35-B36</f>
        <v>509.61538461538464</v>
      </c>
      <c r="C37" s="21">
        <f>C35-C36</f>
        <v>519.80769230769238</v>
      </c>
      <c r="D37" s="21">
        <f>D35-D36</f>
        <v>530.20384615384626</v>
      </c>
      <c r="E37" s="21">
        <f>E35-E36</f>
        <v>540.80792307692298</v>
      </c>
      <c r="F37" s="21"/>
      <c r="G37" s="107"/>
      <c r="H37" s="107"/>
    </row>
    <row r="38" spans="1:10" x14ac:dyDescent="0.25">
      <c r="A38" s="23" t="s">
        <v>252</v>
      </c>
      <c r="B38" s="21">
        <f>-(B34-B36)</f>
        <v>-634.61538461538464</v>
      </c>
      <c r="C38" s="21">
        <f>C31+C36-B36</f>
        <v>57.307692307692264</v>
      </c>
      <c r="D38" s="21">
        <f>D31+D36-C36</f>
        <v>58.453846153846143</v>
      </c>
      <c r="E38" s="21">
        <f>E31+E36-D36+(E34-E36)</f>
        <v>733.08184615384619</v>
      </c>
      <c r="F38" s="21"/>
      <c r="G38" s="107"/>
      <c r="H38" s="107"/>
    </row>
    <row r="39" spans="1:10" x14ac:dyDescent="0.25">
      <c r="A39" s="21" t="s">
        <v>253</v>
      </c>
      <c r="B39" s="21">
        <f>-B37</f>
        <v>-509.61538461538464</v>
      </c>
      <c r="C39" s="21">
        <f>C31+C36-B36</f>
        <v>57.307692307692264</v>
      </c>
      <c r="D39" s="21">
        <f>D31+D36-C36</f>
        <v>58.453846153846143</v>
      </c>
      <c r="E39" s="21">
        <f>E31+E36-D36+E37</f>
        <v>600.43084615384612</v>
      </c>
      <c r="F39" s="21"/>
      <c r="G39" s="107"/>
      <c r="H39" s="107"/>
    </row>
    <row r="40" spans="1:10" x14ac:dyDescent="0.25">
      <c r="A40" s="21" t="s">
        <v>128</v>
      </c>
      <c r="B40" s="24">
        <f>C31/B37</f>
        <v>8.8301886792452822E-2</v>
      </c>
      <c r="C40" s="24">
        <f>D31/C37</f>
        <v>8.8301886792452836E-2</v>
      </c>
      <c r="D40" s="24">
        <f>E31/D37</f>
        <v>8.8301886792452822E-2</v>
      </c>
      <c r="E40" s="24">
        <f>F31/E37</f>
        <v>8.8301886792452849E-2</v>
      </c>
      <c r="F40" s="24"/>
    </row>
    <row r="41" spans="1:10" x14ac:dyDescent="0.25">
      <c r="A41" s="21" t="s">
        <v>129</v>
      </c>
      <c r="B41" s="24">
        <f>C32/B37</f>
        <v>0.11245283018867916</v>
      </c>
      <c r="C41" s="24">
        <f>D32/C37</f>
        <v>0.11245283018867921</v>
      </c>
      <c r="D41" s="24">
        <f>E32/D37</f>
        <v>0.11245283018867935</v>
      </c>
      <c r="E41" s="24">
        <f>F32/E37</f>
        <v>8.8301886792452849E-2</v>
      </c>
      <c r="F41" s="24"/>
    </row>
    <row r="43" spans="1:10" x14ac:dyDescent="0.25">
      <c r="A43" s="25" t="s">
        <v>226</v>
      </c>
      <c r="B43" s="26"/>
      <c r="C43" s="26"/>
      <c r="D43" s="26"/>
      <c r="E43" s="26"/>
      <c r="F43" s="26"/>
    </row>
    <row r="44" spans="1:10" x14ac:dyDescent="0.25">
      <c r="A44" s="27" t="s">
        <v>67</v>
      </c>
      <c r="B44" s="28"/>
      <c r="C44" s="28"/>
      <c r="D44" s="27">
        <f>C50*$B$12</f>
        <v>0</v>
      </c>
      <c r="E44" s="27">
        <f>(1+$B$11)*D44</f>
        <v>0</v>
      </c>
      <c r="F44" s="27">
        <f>(1+$B$11)*E44</f>
        <v>0</v>
      </c>
    </row>
    <row r="45" spans="1:10" x14ac:dyDescent="0.25">
      <c r="A45" s="27" t="s">
        <v>68</v>
      </c>
      <c r="B45" s="28"/>
      <c r="C45" s="28"/>
      <c r="D45" s="27">
        <f>$B$10*D44</f>
        <v>0</v>
      </c>
      <c r="E45" s="27">
        <f>$B$10*E44</f>
        <v>0</v>
      </c>
      <c r="F45" s="27">
        <f>$B$10*F44</f>
        <v>0</v>
      </c>
    </row>
    <row r="46" spans="1:10" x14ac:dyDescent="0.25">
      <c r="A46" s="29" t="s">
        <v>69</v>
      </c>
      <c r="B46" s="26"/>
      <c r="C46" s="26"/>
      <c r="D46" s="29">
        <f>C52*$B$13</f>
        <v>0</v>
      </c>
      <c r="E46" s="29">
        <f>E44/$B$17</f>
        <v>0</v>
      </c>
      <c r="F46" s="29">
        <f>F44/$B$17</f>
        <v>0</v>
      </c>
    </row>
    <row r="47" spans="1:10" x14ac:dyDescent="0.25">
      <c r="A47" s="25" t="s">
        <v>70</v>
      </c>
      <c r="B47" s="26"/>
      <c r="C47" s="26"/>
      <c r="D47" s="25">
        <f>D44-D45-D46</f>
        <v>0</v>
      </c>
      <c r="E47" s="25">
        <f>E44-E45-E46</f>
        <v>0</v>
      </c>
      <c r="F47" s="25">
        <f>F44-F45-F46</f>
        <v>0</v>
      </c>
    </row>
    <row r="48" spans="1:10" x14ac:dyDescent="0.25">
      <c r="A48" s="25" t="s">
        <v>71</v>
      </c>
      <c r="B48" s="26"/>
      <c r="C48" s="26"/>
      <c r="D48" s="25">
        <f>(1-$B$18)*D47</f>
        <v>0</v>
      </c>
      <c r="E48" s="25">
        <f>(1-$B$18)*E47</f>
        <v>0</v>
      </c>
      <c r="F48" s="25">
        <f>(1-$B$18)*F47</f>
        <v>0</v>
      </c>
    </row>
    <row r="49" spans="1:8" x14ac:dyDescent="0.25">
      <c r="A49" s="25" t="s">
        <v>72</v>
      </c>
      <c r="B49" s="26"/>
      <c r="C49" s="26"/>
      <c r="D49" s="25">
        <f>$B$18*D47</f>
        <v>0</v>
      </c>
      <c r="E49" s="25">
        <f>$B$18*E47</f>
        <v>0</v>
      </c>
      <c r="F49" s="25">
        <f>$B$18*F47</f>
        <v>0</v>
      </c>
    </row>
    <row r="50" spans="1:8" x14ac:dyDescent="0.25">
      <c r="A50" s="26" t="s">
        <v>198</v>
      </c>
      <c r="B50" s="26"/>
      <c r="C50" s="25">
        <f>(C33)*($B$35/$B$37)/((1-$B$15)*($B$35/$B$37)+$B$15)</f>
        <v>0</v>
      </c>
      <c r="D50" s="25">
        <f>E44/$B$12</f>
        <v>0</v>
      </c>
      <c r="E50" s="25">
        <f>F44/$B$12</f>
        <v>0</v>
      </c>
      <c r="F50" s="25"/>
      <c r="G50" t="s">
        <v>279</v>
      </c>
    </row>
    <row r="51" spans="1:8" x14ac:dyDescent="0.25">
      <c r="A51" s="25" t="s">
        <v>197</v>
      </c>
      <c r="B51" s="26"/>
      <c r="C51" s="108">
        <f>C50*$B$15</f>
        <v>0</v>
      </c>
      <c r="D51" s="108">
        <f>D50*$B$15</f>
        <v>0</v>
      </c>
      <c r="E51" s="108">
        <f>E50*$B$15</f>
        <v>0</v>
      </c>
      <c r="F51" s="108"/>
      <c r="G51" s="106"/>
      <c r="H51" s="106"/>
    </row>
    <row r="52" spans="1:8" x14ac:dyDescent="0.25">
      <c r="A52" s="29" t="s">
        <v>143</v>
      </c>
      <c r="B52" s="25"/>
      <c r="C52" s="29">
        <f>C50-(C33)</f>
        <v>0</v>
      </c>
      <c r="D52" s="29">
        <f>E46/$B$13</f>
        <v>0</v>
      </c>
      <c r="E52" s="29">
        <f>F46/$B$13</f>
        <v>0</v>
      </c>
      <c r="F52" s="27"/>
      <c r="G52" s="109"/>
      <c r="H52" s="109"/>
    </row>
    <row r="53" spans="1:8" x14ac:dyDescent="0.25">
      <c r="A53" s="25" t="s">
        <v>144</v>
      </c>
      <c r="B53" s="26"/>
      <c r="C53" s="25">
        <f>C51-C52</f>
        <v>0</v>
      </c>
      <c r="D53" s="25">
        <f>D51-D52</f>
        <v>0</v>
      </c>
      <c r="E53" s="25">
        <f>E51-E52</f>
        <v>0</v>
      </c>
      <c r="F53" s="25"/>
      <c r="G53" s="8"/>
    </row>
    <row r="54" spans="1:8" x14ac:dyDescent="0.25">
      <c r="A54" s="25" t="s">
        <v>217</v>
      </c>
      <c r="B54" s="26"/>
      <c r="C54" s="25">
        <f>C50-(C33+C52)</f>
        <v>0</v>
      </c>
      <c r="D54" s="25"/>
      <c r="E54" s="25"/>
      <c r="F54" s="25"/>
      <c r="G54" s="8"/>
    </row>
    <row r="55" spans="1:8" x14ac:dyDescent="0.25">
      <c r="A55" s="26" t="s">
        <v>216</v>
      </c>
      <c r="B55" s="26"/>
      <c r="C55" s="25">
        <f>C51-(C33+C52)</f>
        <v>0</v>
      </c>
      <c r="D55" s="26"/>
      <c r="E55" s="26"/>
      <c r="F55" s="26"/>
    </row>
    <row r="56" spans="1:8" x14ac:dyDescent="0.25">
      <c r="A56" s="25" t="s">
        <v>292</v>
      </c>
      <c r="B56" s="26"/>
      <c r="C56" s="26"/>
      <c r="D56" s="26"/>
      <c r="E56" s="26"/>
      <c r="F56" s="26"/>
    </row>
    <row r="57" spans="1:8" x14ac:dyDescent="0.25">
      <c r="A57" s="27" t="s">
        <v>67</v>
      </c>
      <c r="B57" s="28"/>
      <c r="C57" s="28"/>
      <c r="D57" s="27">
        <f>C63*$B$12</f>
        <v>-16.381818181818186</v>
      </c>
      <c r="E57" s="27">
        <f>(1+$B$11)*D57</f>
        <v>-16.709454545454552</v>
      </c>
      <c r="F57" s="27">
        <f>(1+$B$11)*E57</f>
        <v>-17.043643636363644</v>
      </c>
    </row>
    <row r="58" spans="1:8" x14ac:dyDescent="0.25">
      <c r="A58" s="27" t="s">
        <v>68</v>
      </c>
      <c r="B58" s="28"/>
      <c r="C58" s="28"/>
      <c r="D58" s="27">
        <f>$B$10*D57</f>
        <v>-2.4572727272727279</v>
      </c>
      <c r="E58" s="27">
        <f>$B$10*E57</f>
        <v>-2.5064181818181828</v>
      </c>
      <c r="F58" s="27">
        <f>$B$10*F57</f>
        <v>-2.5565465454545464</v>
      </c>
    </row>
    <row r="59" spans="1:8" x14ac:dyDescent="0.25">
      <c r="A59" s="29" t="s">
        <v>69</v>
      </c>
      <c r="B59" s="26"/>
      <c r="C59" s="26"/>
      <c r="D59" s="29">
        <f>C65*$B$13</f>
        <v>-6.5527272727272736</v>
      </c>
      <c r="E59" s="29">
        <f>E57/$B$17</f>
        <v>-6.6837818181818207</v>
      </c>
      <c r="F59" s="29">
        <f>F57/$B$17</f>
        <v>-6.8174574545454574</v>
      </c>
    </row>
    <row r="60" spans="1:8" x14ac:dyDescent="0.25">
      <c r="A60" s="25" t="s">
        <v>70</v>
      </c>
      <c r="B60" s="26"/>
      <c r="C60" s="26"/>
      <c r="D60" s="25">
        <f>D57-D58-D59</f>
        <v>-7.3718181818181856</v>
      </c>
      <c r="E60" s="25">
        <f>E57-E58-E59</f>
        <v>-7.5192545454545474</v>
      </c>
      <c r="F60" s="25">
        <f>F57-F58-F59</f>
        <v>-7.6696396363636401</v>
      </c>
    </row>
    <row r="61" spans="1:8" x14ac:dyDescent="0.25">
      <c r="A61" s="25" t="s">
        <v>71</v>
      </c>
      <c r="B61" s="26"/>
      <c r="C61" s="26"/>
      <c r="D61" s="25">
        <f>(1-$B$18)*D60+D65-C65</f>
        <v>-9.3880419580419812</v>
      </c>
      <c r="E61" s="25">
        <f>(1-$B$18)*E60+E65-D65</f>
        <v>-9.5758027972027975</v>
      </c>
      <c r="F61" s="25">
        <f>(1-$B$18)*F60</f>
        <v>-7.6696396363636401</v>
      </c>
    </row>
    <row r="62" spans="1:8" x14ac:dyDescent="0.25">
      <c r="A62" s="25" t="s">
        <v>72</v>
      </c>
      <c r="B62" s="26"/>
      <c r="C62" s="26"/>
      <c r="D62" s="25">
        <f>$B$18*D60</f>
        <v>0</v>
      </c>
      <c r="E62" s="25">
        <f>$B$18*E60</f>
        <v>0</v>
      </c>
      <c r="F62" s="25">
        <f>$B$18*F60</f>
        <v>0</v>
      </c>
    </row>
    <row r="63" spans="1:8" x14ac:dyDescent="0.25">
      <c r="A63" s="26" t="s">
        <v>200</v>
      </c>
      <c r="B63" s="26"/>
      <c r="C63" s="25">
        <f>($B$19*C126)*C149*($B$35/$B$37)/((1-$B$15)*($B$35/$B$37)+$B$15)</f>
        <v>-204.77272727272731</v>
      </c>
      <c r="D63" s="25">
        <f>E57/$B$12</f>
        <v>-208.86818181818188</v>
      </c>
      <c r="E63" s="25">
        <f>F57/$B$12</f>
        <v>-213.04554545454553</v>
      </c>
      <c r="F63" s="25"/>
    </row>
    <row r="64" spans="1:8" x14ac:dyDescent="0.25">
      <c r="A64" s="25" t="s">
        <v>199</v>
      </c>
      <c r="B64" s="26"/>
      <c r="C64" s="108">
        <f>C63*$B$15</f>
        <v>-184.29545454545459</v>
      </c>
      <c r="D64" s="108">
        <f>D63*$B$15</f>
        <v>-187.98136363636371</v>
      </c>
      <c r="E64" s="108">
        <f>E63*$B$15</f>
        <v>-191.74099090909098</v>
      </c>
      <c r="F64" s="108"/>
    </row>
    <row r="65" spans="1:7" x14ac:dyDescent="0.25">
      <c r="A65" s="29" t="s">
        <v>146</v>
      </c>
      <c r="B65" s="26"/>
      <c r="C65" s="29">
        <f>C63-($B$19*C126)*C149</f>
        <v>-100.81118881118883</v>
      </c>
      <c r="D65" s="29">
        <f>E59/$B$13</f>
        <v>-102.82741258741262</v>
      </c>
      <c r="E65" s="29">
        <f>F59/$B$13</f>
        <v>-104.88396083916088</v>
      </c>
      <c r="F65" s="27"/>
      <c r="G65" s="109"/>
    </row>
    <row r="66" spans="1:7" x14ac:dyDescent="0.25">
      <c r="A66" s="25" t="s">
        <v>147</v>
      </c>
      <c r="B66" s="26"/>
      <c r="C66" s="25">
        <f>C64-C65</f>
        <v>-83.484265734265762</v>
      </c>
      <c r="D66" s="25">
        <f>D64-D65</f>
        <v>-85.153951048951086</v>
      </c>
      <c r="E66" s="25">
        <f>E64-E65</f>
        <v>-86.857030069930104</v>
      </c>
      <c r="F66" s="25"/>
      <c r="G66" s="109"/>
    </row>
    <row r="67" spans="1:7" x14ac:dyDescent="0.25">
      <c r="A67" s="27" t="s">
        <v>297</v>
      </c>
      <c r="B67" s="26"/>
      <c r="C67" s="27">
        <f>C63-($B$19*C126)*C149-C65</f>
        <v>0</v>
      </c>
      <c r="D67" s="27"/>
      <c r="E67" s="27"/>
      <c r="F67" s="27"/>
      <c r="G67" s="109"/>
    </row>
    <row r="68" spans="1:7" x14ac:dyDescent="0.25">
      <c r="A68" s="27" t="s">
        <v>298</v>
      </c>
      <c r="B68" s="26"/>
      <c r="C68" s="27">
        <f>C64-($B$19*C126)*C149-C65</f>
        <v>20.47727272727272</v>
      </c>
      <c r="D68" s="27"/>
      <c r="E68" s="27"/>
      <c r="F68" s="27"/>
      <c r="G68" s="105"/>
    </row>
    <row r="69" spans="1:7" x14ac:dyDescent="0.25">
      <c r="A69" s="119"/>
      <c r="B69" s="107"/>
      <c r="C69" s="119"/>
      <c r="D69" s="119"/>
      <c r="E69" s="119"/>
      <c r="F69" s="119"/>
      <c r="G69" s="105"/>
    </row>
    <row r="70" spans="1:7" x14ac:dyDescent="0.25">
      <c r="A70" s="31" t="s">
        <v>225</v>
      </c>
      <c r="B70" s="32"/>
      <c r="C70" s="32"/>
      <c r="D70" s="32"/>
      <c r="E70" s="32"/>
      <c r="F70" s="32"/>
      <c r="G70" s="105"/>
    </row>
    <row r="71" spans="1:7" x14ac:dyDescent="0.25">
      <c r="A71" s="33" t="s">
        <v>78</v>
      </c>
      <c r="B71" s="34"/>
      <c r="C71" s="34"/>
      <c r="D71" s="34"/>
      <c r="E71" s="33">
        <f>D77*$B$12</f>
        <v>0</v>
      </c>
      <c r="F71" s="33">
        <f>(1+$B$11)*E71</f>
        <v>0</v>
      </c>
      <c r="G71" s="105"/>
    </row>
    <row r="72" spans="1:7" x14ac:dyDescent="0.25">
      <c r="A72" s="33" t="s">
        <v>79</v>
      </c>
      <c r="B72" s="34"/>
      <c r="C72" s="34"/>
      <c r="D72" s="34"/>
      <c r="E72" s="33">
        <f>$B$10*E71</f>
        <v>0</v>
      </c>
      <c r="F72" s="33">
        <f>$B$10*F71</f>
        <v>0</v>
      </c>
      <c r="G72" s="105"/>
    </row>
    <row r="73" spans="1:7" x14ac:dyDescent="0.25">
      <c r="A73" s="35" t="s">
        <v>80</v>
      </c>
      <c r="B73" s="34"/>
      <c r="C73" s="34"/>
      <c r="D73" s="32"/>
      <c r="E73" s="35">
        <f>D79*$B$13</f>
        <v>0</v>
      </c>
      <c r="F73" s="35">
        <f>F71/$B$17</f>
        <v>0</v>
      </c>
      <c r="G73" s="105"/>
    </row>
    <row r="74" spans="1:7" x14ac:dyDescent="0.25">
      <c r="A74" s="31" t="s">
        <v>81</v>
      </c>
      <c r="B74" s="34"/>
      <c r="C74" s="34"/>
      <c r="D74" s="32"/>
      <c r="E74" s="31">
        <f>E71-E72-E73</f>
        <v>0</v>
      </c>
      <c r="F74" s="31">
        <f>F71-F72-F73</f>
        <v>0</v>
      </c>
      <c r="G74" s="105"/>
    </row>
    <row r="75" spans="1:7" x14ac:dyDescent="0.25">
      <c r="A75" s="31" t="s">
        <v>82</v>
      </c>
      <c r="B75" s="34"/>
      <c r="C75" s="34"/>
      <c r="D75" s="32"/>
      <c r="E75" s="31">
        <f>(1-$B$18)*E74</f>
        <v>0</v>
      </c>
      <c r="F75" s="31">
        <f>(1-$B$18)*F74</f>
        <v>0</v>
      </c>
      <c r="G75" s="105"/>
    </row>
    <row r="76" spans="1:7" x14ac:dyDescent="0.25">
      <c r="A76" s="31" t="s">
        <v>83</v>
      </c>
      <c r="B76" s="34"/>
      <c r="C76" s="34"/>
      <c r="D76" s="32"/>
      <c r="E76" s="31">
        <f>$B$18*E74</f>
        <v>0</v>
      </c>
      <c r="F76" s="31">
        <f>$B$18*F74</f>
        <v>0</v>
      </c>
      <c r="G76" s="105"/>
    </row>
    <row r="77" spans="1:7" x14ac:dyDescent="0.25">
      <c r="A77" s="32" t="s">
        <v>202</v>
      </c>
      <c r="B77" s="34"/>
      <c r="C77" s="34"/>
      <c r="D77" s="31">
        <f>(D33+D49+D62)*($B$35/$B$37)/((1-$B$15)*($B$35/$B$37)+$B$15)</f>
        <v>0</v>
      </c>
      <c r="E77" s="31">
        <f>F71/$B$12</f>
        <v>0</v>
      </c>
      <c r="F77" s="31"/>
      <c r="G77" s="105"/>
    </row>
    <row r="78" spans="1:7" x14ac:dyDescent="0.25">
      <c r="A78" s="31" t="s">
        <v>201</v>
      </c>
      <c r="B78" s="34"/>
      <c r="C78" s="33"/>
      <c r="D78" s="110">
        <f>D77*$B$15</f>
        <v>0</v>
      </c>
      <c r="E78" s="110">
        <f>E77*$B$15</f>
        <v>0</v>
      </c>
      <c r="F78" s="110"/>
      <c r="G78" s="105"/>
    </row>
    <row r="79" spans="1:7" x14ac:dyDescent="0.25">
      <c r="A79" s="35" t="s">
        <v>85</v>
      </c>
      <c r="B79" s="34"/>
      <c r="C79" s="32"/>
      <c r="D79" s="35">
        <f>D77-(D33+D49+D62)</f>
        <v>0</v>
      </c>
      <c r="E79" s="35">
        <f>F73/$B$13</f>
        <v>0</v>
      </c>
      <c r="F79" s="33"/>
      <c r="G79" s="105"/>
    </row>
    <row r="80" spans="1:7" x14ac:dyDescent="0.25">
      <c r="A80" s="31" t="s">
        <v>86</v>
      </c>
      <c r="B80" s="34"/>
      <c r="C80" s="33"/>
      <c r="D80" s="31">
        <f>D78-D79</f>
        <v>0</v>
      </c>
      <c r="E80" s="31">
        <f>E78-E79</f>
        <v>0</v>
      </c>
      <c r="F80" s="31"/>
      <c r="G80" s="105"/>
    </row>
    <row r="81" spans="1:7" x14ac:dyDescent="0.25">
      <c r="A81" s="31" t="s">
        <v>217</v>
      </c>
      <c r="B81" s="32"/>
      <c r="C81" s="31"/>
      <c r="D81" s="31">
        <f>D77-(D33+D49+D62)-D79</f>
        <v>0</v>
      </c>
      <c r="E81" s="31"/>
      <c r="F81" s="31"/>
      <c r="G81" s="105"/>
    </row>
    <row r="82" spans="1:7" x14ac:dyDescent="0.25">
      <c r="A82" s="32" t="s">
        <v>216</v>
      </c>
      <c r="B82" s="34"/>
      <c r="C82" s="34"/>
      <c r="D82" s="31">
        <f>D78-(D33+D49+D62)-D79</f>
        <v>0</v>
      </c>
      <c r="E82" s="32"/>
      <c r="F82" s="32"/>
      <c r="G82" s="105"/>
    </row>
    <row r="83" spans="1:7" x14ac:dyDescent="0.25">
      <c r="A83" s="31" t="s">
        <v>293</v>
      </c>
      <c r="B83" s="32"/>
      <c r="C83" s="32"/>
      <c r="D83" s="32"/>
      <c r="E83" s="32"/>
      <c r="F83" s="32"/>
      <c r="G83" s="105"/>
    </row>
    <row r="84" spans="1:7" x14ac:dyDescent="0.25">
      <c r="A84" s="33" t="s">
        <v>78</v>
      </c>
      <c r="B84" s="34"/>
      <c r="C84" s="34"/>
      <c r="D84" s="34"/>
      <c r="E84" s="33">
        <f>D90*$B$12</f>
        <v>-14.025814876033062</v>
      </c>
      <c r="F84" s="33">
        <f>(1+$B$11)*E84</f>
        <v>-14.306331173553723</v>
      </c>
      <c r="G84" s="105"/>
    </row>
    <row r="85" spans="1:7" x14ac:dyDescent="0.25">
      <c r="A85" s="33" t="s">
        <v>79</v>
      </c>
      <c r="B85" s="34"/>
      <c r="C85" s="34"/>
      <c r="D85" s="34"/>
      <c r="E85" s="33">
        <f>$B$10*E84</f>
        <v>-2.1038722314049592</v>
      </c>
      <c r="F85" s="33">
        <f>$B$10*F84</f>
        <v>-2.1459496760330583</v>
      </c>
      <c r="G85" s="105"/>
    </row>
    <row r="86" spans="1:7" x14ac:dyDescent="0.25">
      <c r="A86" s="35" t="s">
        <v>80</v>
      </c>
      <c r="B86" s="34"/>
      <c r="C86" s="34"/>
      <c r="D86" s="32"/>
      <c r="E86" s="35">
        <f>D92*$B$13</f>
        <v>-5.610325950413225</v>
      </c>
      <c r="F86" s="35">
        <f>F84/$B$17</f>
        <v>-5.7225324694214894</v>
      </c>
      <c r="G86" s="105"/>
    </row>
    <row r="87" spans="1:7" x14ac:dyDescent="0.25">
      <c r="A87" s="31" t="s">
        <v>81</v>
      </c>
      <c r="B87" s="34"/>
      <c r="C87" s="34"/>
      <c r="D87" s="32"/>
      <c r="E87" s="31">
        <f>E84-E85-E86</f>
        <v>-6.3116166942148784</v>
      </c>
      <c r="F87" s="31">
        <f>F84-F85-F86</f>
        <v>-6.4378490280991745</v>
      </c>
      <c r="G87" s="105"/>
    </row>
    <row r="88" spans="1:7" x14ac:dyDescent="0.25">
      <c r="A88" s="31" t="s">
        <v>82</v>
      </c>
      <c r="B88" s="34"/>
      <c r="C88" s="34"/>
      <c r="D88" s="32"/>
      <c r="E88" s="31">
        <f>(1-$B$18)*E87+E92-D92</f>
        <v>-8.0378708328035628</v>
      </c>
      <c r="F88" s="31">
        <f>(1-$B$18)*F87</f>
        <v>-6.4378490280991745</v>
      </c>
      <c r="G88" s="105"/>
    </row>
    <row r="89" spans="1:7" x14ac:dyDescent="0.25">
      <c r="A89" s="31" t="s">
        <v>83</v>
      </c>
      <c r="B89" s="34"/>
      <c r="C89" s="34"/>
      <c r="D89" s="32"/>
      <c r="E89" s="31">
        <f>$B$18*E87</f>
        <v>0</v>
      </c>
      <c r="F89" s="31">
        <f>$B$18*F87</f>
        <v>0</v>
      </c>
      <c r="G89" s="105"/>
    </row>
    <row r="90" spans="1:7" x14ac:dyDescent="0.25">
      <c r="A90" s="32" t="s">
        <v>204</v>
      </c>
      <c r="B90" s="34"/>
      <c r="C90" s="34"/>
      <c r="D90" s="31">
        <f>($B$19*D126)*D149*($B$35/$B$37)/((1-$B$15)*($B$35/$B$37)+$B$15)</f>
        <v>-175.32268595041327</v>
      </c>
      <c r="E90" s="31">
        <f>F84/$B$12</f>
        <v>-178.82913966942152</v>
      </c>
      <c r="F90" s="31"/>
      <c r="G90" s="105"/>
    </row>
    <row r="91" spans="1:7" x14ac:dyDescent="0.25">
      <c r="A91" s="31" t="s">
        <v>203</v>
      </c>
      <c r="B91" s="34"/>
      <c r="C91" s="33"/>
      <c r="D91" s="110">
        <f>D90*$B$15</f>
        <v>-157.79041735537194</v>
      </c>
      <c r="E91" s="110">
        <f>E90*$B$15</f>
        <v>-160.94622570247938</v>
      </c>
      <c r="F91" s="110"/>
      <c r="G91" s="105"/>
    </row>
    <row r="92" spans="1:7" x14ac:dyDescent="0.25">
      <c r="A92" s="35" t="s">
        <v>154</v>
      </c>
      <c r="B92" s="34"/>
      <c r="C92" s="32"/>
      <c r="D92" s="35">
        <f>D90-($B$19*D126)*D149</f>
        <v>-86.312706929434228</v>
      </c>
      <c r="E92" s="35">
        <f>F86/$B$13</f>
        <v>-88.038961068022914</v>
      </c>
      <c r="F92" s="33"/>
      <c r="G92" s="105"/>
    </row>
    <row r="93" spans="1:7" x14ac:dyDescent="0.25">
      <c r="A93" s="31" t="s">
        <v>155</v>
      </c>
      <c r="B93" s="34"/>
      <c r="C93" s="33"/>
      <c r="D93" s="31">
        <f>D91-D92</f>
        <v>-71.477710425937715</v>
      </c>
      <c r="E93" s="31">
        <f>E91-E92</f>
        <v>-72.907264634456467</v>
      </c>
      <c r="F93" s="31"/>
      <c r="G93" s="105"/>
    </row>
    <row r="94" spans="1:7" x14ac:dyDescent="0.25">
      <c r="A94" s="33" t="s">
        <v>297</v>
      </c>
      <c r="B94" s="34"/>
      <c r="C94" s="32"/>
      <c r="D94" s="33">
        <f>D90-($B$19*D126)*D149-D92</f>
        <v>0</v>
      </c>
      <c r="E94" s="33"/>
      <c r="F94" s="33"/>
      <c r="G94" s="105"/>
    </row>
    <row r="95" spans="1:7" x14ac:dyDescent="0.25">
      <c r="A95" s="32" t="s">
        <v>298</v>
      </c>
      <c r="B95" s="32"/>
      <c r="C95" s="32"/>
      <c r="D95" s="31">
        <f>D91-($B$19*D126)*D149-D92</f>
        <v>17.53226859504133</v>
      </c>
      <c r="E95" s="32"/>
      <c r="F95" s="32"/>
      <c r="G95" s="105"/>
    </row>
    <row r="97" spans="1:6" x14ac:dyDescent="0.25">
      <c r="A97" s="120" t="s">
        <v>224</v>
      </c>
      <c r="B97" s="121"/>
      <c r="C97" s="121"/>
      <c r="D97" s="121"/>
      <c r="E97" s="121"/>
      <c r="F97" s="121"/>
    </row>
    <row r="98" spans="1:6" x14ac:dyDescent="0.25">
      <c r="A98" s="122" t="s">
        <v>228</v>
      </c>
      <c r="B98" s="123"/>
      <c r="C98" s="123"/>
      <c r="D98" s="123"/>
      <c r="E98" s="122"/>
      <c r="F98" s="122">
        <f>E104*$B$12</f>
        <v>0</v>
      </c>
    </row>
    <row r="99" spans="1:6" x14ac:dyDescent="0.25">
      <c r="A99" s="122" t="s">
        <v>229</v>
      </c>
      <c r="B99" s="123"/>
      <c r="C99" s="123"/>
      <c r="D99" s="123"/>
      <c r="E99" s="122"/>
      <c r="F99" s="122">
        <f>$B$10*F98</f>
        <v>0</v>
      </c>
    </row>
    <row r="100" spans="1:6" x14ac:dyDescent="0.25">
      <c r="A100" s="124" t="s">
        <v>230</v>
      </c>
      <c r="B100" s="123"/>
      <c r="C100" s="123"/>
      <c r="D100" s="121"/>
      <c r="E100" s="124"/>
      <c r="F100" s="124">
        <f>E106*$B$13</f>
        <v>0</v>
      </c>
    </row>
    <row r="101" spans="1:6" x14ac:dyDescent="0.25">
      <c r="A101" s="120" t="s">
        <v>231</v>
      </c>
      <c r="B101" s="123"/>
      <c r="C101" s="123"/>
      <c r="D101" s="121"/>
      <c r="E101" s="120"/>
      <c r="F101" s="120">
        <f>F98-F99-F100</f>
        <v>0</v>
      </c>
    </row>
    <row r="102" spans="1:6" x14ac:dyDescent="0.25">
      <c r="A102" s="120" t="s">
        <v>232</v>
      </c>
      <c r="B102" s="123"/>
      <c r="C102" s="123"/>
      <c r="D102" s="121"/>
      <c r="E102" s="120"/>
      <c r="F102" s="120">
        <f>(1-$B$18)*F101</f>
        <v>0</v>
      </c>
    </row>
    <row r="103" spans="1:6" x14ac:dyDescent="0.25">
      <c r="A103" s="120" t="s">
        <v>233</v>
      </c>
      <c r="B103" s="123"/>
      <c r="C103" s="123"/>
      <c r="D103" s="121"/>
      <c r="E103" s="120"/>
      <c r="F103" s="120">
        <f>$B$18*F101</f>
        <v>0</v>
      </c>
    </row>
    <row r="104" spans="1:6" x14ac:dyDescent="0.25">
      <c r="A104" s="121" t="s">
        <v>234</v>
      </c>
      <c r="B104" s="123"/>
      <c r="C104" s="123"/>
      <c r="D104" s="120"/>
      <c r="E104" s="120">
        <f>(E33+E49+E62+E76+E89)*($B$35/$B$37)/((1-$B$15)*($B$35/$B$37)+$B$15)</f>
        <v>0</v>
      </c>
      <c r="F104" s="120"/>
    </row>
    <row r="105" spans="1:6" x14ac:dyDescent="0.25">
      <c r="A105" s="120" t="s">
        <v>235</v>
      </c>
      <c r="B105" s="123"/>
      <c r="C105" s="122"/>
      <c r="D105" s="125"/>
      <c r="E105" s="125">
        <f>E104*$B$15</f>
        <v>0</v>
      </c>
      <c r="F105" s="125"/>
    </row>
    <row r="106" spans="1:6" x14ac:dyDescent="0.25">
      <c r="A106" s="124" t="s">
        <v>236</v>
      </c>
      <c r="B106" s="123"/>
      <c r="C106" s="121"/>
      <c r="D106" s="124"/>
      <c r="E106" s="124">
        <f>E104-(E33+E49+E62+E76+E89)</f>
        <v>0</v>
      </c>
      <c r="F106" s="122"/>
    </row>
    <row r="107" spans="1:6" x14ac:dyDescent="0.25">
      <c r="A107" s="120" t="s">
        <v>237</v>
      </c>
      <c r="B107" s="123"/>
      <c r="C107" s="122"/>
      <c r="D107" s="120"/>
      <c r="E107" s="120">
        <f>E105-E106</f>
        <v>0</v>
      </c>
      <c r="F107" s="120"/>
    </row>
    <row r="108" spans="1:6" x14ac:dyDescent="0.25">
      <c r="A108" s="120" t="s">
        <v>217</v>
      </c>
      <c r="B108" s="121"/>
      <c r="C108" s="120"/>
      <c r="D108" s="120"/>
      <c r="E108" s="120">
        <f>E104-(E33+E49+E62+E76+E89)-E106</f>
        <v>0</v>
      </c>
      <c r="F108" s="120"/>
    </row>
    <row r="109" spans="1:6" x14ac:dyDescent="0.25">
      <c r="A109" s="121" t="s">
        <v>216</v>
      </c>
      <c r="B109" s="123"/>
      <c r="C109" s="123"/>
      <c r="D109" s="120"/>
      <c r="E109" s="120">
        <f>E105-(E33+E49+E62+E76+E89)-E106</f>
        <v>0</v>
      </c>
      <c r="F109" s="121"/>
    </row>
    <row r="110" spans="1:6" x14ac:dyDescent="0.25">
      <c r="A110" s="120" t="s">
        <v>294</v>
      </c>
      <c r="B110" s="121"/>
      <c r="C110" s="121"/>
      <c r="D110" s="121"/>
      <c r="E110" s="121"/>
      <c r="F110" s="121"/>
    </row>
    <row r="111" spans="1:6" x14ac:dyDescent="0.25">
      <c r="A111" s="122" t="s">
        <v>228</v>
      </c>
      <c r="B111" s="123"/>
      <c r="C111" s="123"/>
      <c r="D111" s="123"/>
      <c r="E111" s="122"/>
      <c r="F111" s="122">
        <f>E117*$B$12</f>
        <v>-12.008647682043575</v>
      </c>
    </row>
    <row r="112" spans="1:6" x14ac:dyDescent="0.25">
      <c r="A112" s="122" t="s">
        <v>229</v>
      </c>
      <c r="B112" s="123"/>
      <c r="C112" s="123"/>
      <c r="D112" s="123"/>
      <c r="E112" s="122"/>
      <c r="F112" s="122">
        <f>$B$10*F111</f>
        <v>-1.8012971523065362</v>
      </c>
    </row>
    <row r="113" spans="1:6" x14ac:dyDescent="0.25">
      <c r="A113" s="124" t="s">
        <v>230</v>
      </c>
      <c r="B113" s="123"/>
      <c r="C113" s="123"/>
      <c r="D113" s="121"/>
      <c r="E113" s="124"/>
      <c r="F113" s="124">
        <f>E119*$B$13</f>
        <v>-4.8034590728174296</v>
      </c>
    </row>
    <row r="114" spans="1:6" x14ac:dyDescent="0.25">
      <c r="A114" s="120" t="s">
        <v>231</v>
      </c>
      <c r="B114" s="123"/>
      <c r="C114" s="123"/>
      <c r="D114" s="121"/>
      <c r="E114" s="120"/>
      <c r="F114" s="120">
        <f>F111-F112-F113</f>
        <v>-5.4038914569196086</v>
      </c>
    </row>
    <row r="115" spans="1:6" x14ac:dyDescent="0.25">
      <c r="A115" s="120" t="s">
        <v>232</v>
      </c>
      <c r="B115" s="123"/>
      <c r="C115" s="123"/>
      <c r="D115" s="121"/>
      <c r="E115" s="120"/>
      <c r="F115" s="120">
        <f>(1-$B$18)*F114</f>
        <v>-5.4038914569196086</v>
      </c>
    </row>
    <row r="116" spans="1:6" x14ac:dyDescent="0.25">
      <c r="A116" s="120" t="s">
        <v>233</v>
      </c>
      <c r="B116" s="123"/>
      <c r="C116" s="123"/>
      <c r="D116" s="121"/>
      <c r="E116" s="120"/>
      <c r="F116" s="120">
        <f>$B$18*F114</f>
        <v>0</v>
      </c>
    </row>
    <row r="117" spans="1:6" x14ac:dyDescent="0.25">
      <c r="A117" s="121" t="s">
        <v>238</v>
      </c>
      <c r="B117" s="123"/>
      <c r="C117" s="123"/>
      <c r="D117" s="120"/>
      <c r="E117" s="120">
        <f>($B$19*E126)*E149*($B$35/$B$37)/((1-$B$15)*($B$35/$B$37)+$B$15)</f>
        <v>-150.10809602554468</v>
      </c>
      <c r="F117" s="120"/>
    </row>
    <row r="118" spans="1:6" x14ac:dyDescent="0.25">
      <c r="A118" s="120" t="s">
        <v>239</v>
      </c>
      <c r="B118" s="123"/>
      <c r="C118" s="122"/>
      <c r="D118" s="125"/>
      <c r="E118" s="125">
        <f>E117*$B$15</f>
        <v>-135.09728642299021</v>
      </c>
      <c r="F118" s="125"/>
    </row>
    <row r="119" spans="1:6" x14ac:dyDescent="0.25">
      <c r="A119" s="124" t="s">
        <v>240</v>
      </c>
      <c r="B119" s="123"/>
      <c r="C119" s="121"/>
      <c r="D119" s="124"/>
      <c r="E119" s="124">
        <f>E117-($B$19*E126)*E149</f>
        <v>-73.899370351037376</v>
      </c>
      <c r="F119" s="122"/>
    </row>
    <row r="120" spans="1:6" x14ac:dyDescent="0.25">
      <c r="A120" s="120" t="s">
        <v>241</v>
      </c>
      <c r="B120" s="123"/>
      <c r="C120" s="122"/>
      <c r="D120" s="120"/>
      <c r="E120" s="120">
        <f>E118-E119</f>
        <v>-61.197916071952832</v>
      </c>
      <c r="F120" s="120"/>
    </row>
    <row r="121" spans="1:6" x14ac:dyDescent="0.25">
      <c r="A121" s="122" t="s">
        <v>297</v>
      </c>
      <c r="B121" s="123"/>
      <c r="C121" s="121"/>
      <c r="D121" s="122"/>
      <c r="E121" s="122">
        <f>E117-($B$19*E126)*E149-E119</f>
        <v>0</v>
      </c>
      <c r="F121" s="122"/>
    </row>
    <row r="122" spans="1:6" x14ac:dyDescent="0.25">
      <c r="A122" s="121" t="s">
        <v>298</v>
      </c>
      <c r="B122" s="121"/>
      <c r="C122" s="121"/>
      <c r="D122" s="120"/>
      <c r="E122" s="120">
        <f>E118-($B$19*E126)*E149-E119</f>
        <v>15.010809602554474</v>
      </c>
      <c r="F122" s="121"/>
    </row>
    <row r="123" spans="1:6" ht="13.8" thickBot="1" x14ac:dyDescent="0.3">
      <c r="A123" s="38"/>
      <c r="B123" s="38"/>
      <c r="C123" s="38"/>
      <c r="D123" s="38"/>
      <c r="E123" s="38"/>
      <c r="F123" s="116"/>
    </row>
    <row r="124" spans="1:6" ht="14.4" thickTop="1" thickBot="1" x14ac:dyDescent="0.3"/>
    <row r="125" spans="1:6" x14ac:dyDescent="0.25">
      <c r="A125" s="67" t="s">
        <v>131</v>
      </c>
      <c r="B125" s="68"/>
      <c r="C125" s="68"/>
      <c r="D125" s="68"/>
      <c r="E125" s="68"/>
      <c r="F125" s="69"/>
    </row>
    <row r="126" spans="1:6" s="85" customFormat="1" x14ac:dyDescent="0.25">
      <c r="A126" s="83" t="s">
        <v>285</v>
      </c>
      <c r="B126" s="84"/>
      <c r="C126" s="86">
        <f>B127</f>
        <v>10</v>
      </c>
      <c r="D126" s="86">
        <f>C127</f>
        <v>8</v>
      </c>
      <c r="E126" s="117">
        <f>D127</f>
        <v>6.4</v>
      </c>
      <c r="F126" s="129">
        <f>E127</f>
        <v>5.120000000000001</v>
      </c>
    </row>
    <row r="127" spans="1:6" s="85" customFormat="1" x14ac:dyDescent="0.25">
      <c r="A127" s="83" t="s">
        <v>286</v>
      </c>
      <c r="B127" s="86">
        <f>B14</f>
        <v>10</v>
      </c>
      <c r="C127" s="84">
        <f>(1+$B$19)*C126</f>
        <v>8</v>
      </c>
      <c r="D127" s="84">
        <f>(1+$B$19)*D126</f>
        <v>6.4</v>
      </c>
      <c r="E127" s="128">
        <f>(1+$B$19)*E126</f>
        <v>5.120000000000001</v>
      </c>
      <c r="F127" s="130"/>
    </row>
    <row r="128" spans="1:6" x14ac:dyDescent="0.25">
      <c r="A128" s="70" t="s">
        <v>90</v>
      </c>
      <c r="B128" s="59"/>
      <c r="C128" s="63">
        <f>C24+C44+C57+C71+C84</f>
        <v>100</v>
      </c>
      <c r="D128" s="63">
        <f>D24+D44+D57+D71+D84</f>
        <v>85.61818181818181</v>
      </c>
      <c r="E128" s="61">
        <f>E24+E44+E57+E71+E84</f>
        <v>73.304730578512391</v>
      </c>
      <c r="F128" s="75">
        <f>F24+F44+F57+F71+F84+F98+F111</f>
        <v>62.762177508039059</v>
      </c>
    </row>
    <row r="129" spans="1:6" x14ac:dyDescent="0.25">
      <c r="A129" s="74" t="s">
        <v>91</v>
      </c>
      <c r="B129" s="60"/>
      <c r="C129" s="61"/>
      <c r="D129" s="62">
        <f>(D128/C128)-1</f>
        <v>-0.14381818181818184</v>
      </c>
      <c r="E129" s="62">
        <f>(E128/D128)-1</f>
        <v>-0.14381818181818184</v>
      </c>
      <c r="F129" s="76">
        <f>(F128/E128)-1</f>
        <v>-0.14381818181818184</v>
      </c>
    </row>
    <row r="130" spans="1:6" x14ac:dyDescent="0.25">
      <c r="A130" s="74" t="s">
        <v>287</v>
      </c>
      <c r="B130" s="60"/>
      <c r="C130" s="61">
        <f>C128/C126</f>
        <v>10</v>
      </c>
      <c r="D130" s="61">
        <f>D128/D126</f>
        <v>10.702272727272726</v>
      </c>
      <c r="E130" s="61">
        <f>E128/E126</f>
        <v>11.45386415289256</v>
      </c>
      <c r="F130" s="75">
        <f>F128/F126</f>
        <v>12.258237794538877</v>
      </c>
    </row>
    <row r="131" spans="1:6" x14ac:dyDescent="0.25">
      <c r="A131" s="72" t="s">
        <v>91</v>
      </c>
      <c r="B131" s="64"/>
      <c r="C131" s="64"/>
      <c r="D131" s="65">
        <f>(D130/C130)-1</f>
        <v>7.0227272727272583E-2</v>
      </c>
      <c r="E131" s="65">
        <f>(E130/D130)-1</f>
        <v>7.0227272727272583E-2</v>
      </c>
      <c r="F131" s="73">
        <f>(F130/E130)-1</f>
        <v>7.0227272727272583E-2</v>
      </c>
    </row>
    <row r="132" spans="1:6" x14ac:dyDescent="0.25">
      <c r="A132" s="74" t="s">
        <v>150</v>
      </c>
      <c r="B132" s="60"/>
      <c r="C132" s="61">
        <f>C31+C47</f>
        <v>45</v>
      </c>
      <c r="D132" s="61">
        <f>D31+D47+D60+D74+D87</f>
        <v>38.528181818181821</v>
      </c>
      <c r="E132" s="61">
        <f>E31+E47+E60+E74+E87</f>
        <v>32.987128760330577</v>
      </c>
      <c r="F132" s="75">
        <f>F31+F47+F60+F74+F87+F101+F114</f>
        <v>28.242979878617575</v>
      </c>
    </row>
    <row r="133" spans="1:6" x14ac:dyDescent="0.25">
      <c r="A133" s="74" t="s">
        <v>91</v>
      </c>
      <c r="B133" s="60"/>
      <c r="C133" s="61"/>
      <c r="D133" s="62">
        <f>(D132/C132)-1</f>
        <v>-0.14381818181818173</v>
      </c>
      <c r="E133" s="62">
        <f>(E132/D132)-1</f>
        <v>-0.14381818181818196</v>
      </c>
      <c r="F133" s="76">
        <f>(F132/E132)-1</f>
        <v>-0.14381818181818196</v>
      </c>
    </row>
    <row r="134" spans="1:6" x14ac:dyDescent="0.25">
      <c r="A134" s="74" t="s">
        <v>151</v>
      </c>
      <c r="B134" s="60"/>
      <c r="C134" s="61">
        <f>C132/C126</f>
        <v>4.5</v>
      </c>
      <c r="D134" s="61">
        <f>D132/D126</f>
        <v>4.8160227272727276</v>
      </c>
      <c r="E134" s="61">
        <f>E132/E126</f>
        <v>5.1542388688016523</v>
      </c>
      <c r="F134" s="75">
        <f>F132/F126</f>
        <v>5.5162070075424943</v>
      </c>
    </row>
    <row r="135" spans="1:6" x14ac:dyDescent="0.25">
      <c r="A135" s="74" t="s">
        <v>91</v>
      </c>
      <c r="B135" s="60"/>
      <c r="C135" s="60"/>
      <c r="D135" s="62">
        <f>(D134/C134)-1</f>
        <v>7.0227272727272805E-2</v>
      </c>
      <c r="E135" s="65">
        <f>(E134/D134)-1</f>
        <v>7.0227272727272583E-2</v>
      </c>
      <c r="F135" s="73">
        <f>(F134/E134)-1</f>
        <v>7.0227272727272583E-2</v>
      </c>
    </row>
    <row r="136" spans="1:6" x14ac:dyDescent="0.25">
      <c r="A136" s="70" t="s">
        <v>92</v>
      </c>
      <c r="B136" s="59"/>
      <c r="C136" s="63">
        <f>C32+C48+C61+C75+C88</f>
        <v>57.307692307692264</v>
      </c>
      <c r="D136" s="63">
        <f>D32+D48+D61+D75+D88</f>
        <v>49.065804195804162</v>
      </c>
      <c r="E136" s="61">
        <f>E32+E48+E61+E75+E88</f>
        <v>42.009249446916783</v>
      </c>
      <c r="F136" s="75">
        <f>F32+F48+F61+F75+F88+F102+F115</f>
        <v>28.242979878617575</v>
      </c>
    </row>
    <row r="137" spans="1:6" x14ac:dyDescent="0.25">
      <c r="A137" s="74" t="s">
        <v>91</v>
      </c>
      <c r="B137" s="60"/>
      <c r="C137" s="61"/>
      <c r="D137" s="62">
        <f>(D136/C136)-1</f>
        <v>-0.14381818181818173</v>
      </c>
      <c r="E137" s="62">
        <f>(E136/D136)-1</f>
        <v>-0.14381818181817996</v>
      </c>
      <c r="F137" s="76">
        <f>(F136/E136)-1</f>
        <v>-0.32769615619280168</v>
      </c>
    </row>
    <row r="138" spans="1:6" x14ac:dyDescent="0.25">
      <c r="A138" s="74" t="s">
        <v>152</v>
      </c>
      <c r="B138" s="60"/>
      <c r="C138" s="61">
        <f>C136/C126</f>
        <v>5.7307692307692264</v>
      </c>
      <c r="D138" s="61">
        <f>D136/D126</f>
        <v>6.1332255244755203</v>
      </c>
      <c r="E138" s="61">
        <f>E136/E126</f>
        <v>6.5639452260807474</v>
      </c>
      <c r="F138" s="75">
        <f>F136/F126</f>
        <v>5.5162070075424943</v>
      </c>
    </row>
    <row r="139" spans="1:6" x14ac:dyDescent="0.25">
      <c r="A139" s="72" t="s">
        <v>91</v>
      </c>
      <c r="B139" s="64"/>
      <c r="C139" s="64"/>
      <c r="D139" s="65">
        <f>(D138/C138)-1</f>
        <v>7.0227272727272805E-2</v>
      </c>
      <c r="E139" s="65">
        <f>(E138/D138)-1</f>
        <v>7.0227272727275025E-2</v>
      </c>
      <c r="F139" s="73">
        <f>(F138/E138)-1</f>
        <v>-0.15962019524100213</v>
      </c>
    </row>
    <row r="140" spans="1:6" x14ac:dyDescent="0.25">
      <c r="A140" s="74" t="s">
        <v>299</v>
      </c>
      <c r="B140" s="61">
        <f>B34</f>
        <v>1250</v>
      </c>
      <c r="C140" s="61">
        <f>C34+C50</f>
        <v>1275</v>
      </c>
      <c r="D140" s="61">
        <f>D34+D50+D63+D77</f>
        <v>1091.6318181818181</v>
      </c>
      <c r="E140" s="61">
        <f>E34+E50+E63+E77+E90+E104</f>
        <v>934.63531487603291</v>
      </c>
      <c r="F140" s="76"/>
    </row>
    <row r="141" spans="1:6" x14ac:dyDescent="0.25">
      <c r="A141" s="74" t="s">
        <v>300</v>
      </c>
      <c r="B141" s="61">
        <f>B35</f>
        <v>1125</v>
      </c>
      <c r="C141" s="61">
        <f>C35+C51</f>
        <v>1147.5</v>
      </c>
      <c r="D141" s="61">
        <f>D35+D51+D64+D78</f>
        <v>982.46863636363628</v>
      </c>
      <c r="E141" s="61">
        <f>E35+E51+E64+E78+E91+E105</f>
        <v>841.1717833884295</v>
      </c>
      <c r="F141" s="76"/>
    </row>
    <row r="142" spans="1:6" x14ac:dyDescent="0.25">
      <c r="A142" s="74" t="s">
        <v>91</v>
      </c>
      <c r="B142" s="60"/>
      <c r="C142" s="62"/>
      <c r="D142" s="62">
        <f>D141/C141-1</f>
        <v>-0.14381818181818184</v>
      </c>
      <c r="E142" s="62">
        <f>E141/D141-1</f>
        <v>-0.14381818181818196</v>
      </c>
      <c r="F142" s="76"/>
    </row>
    <row r="143" spans="1:6" x14ac:dyDescent="0.25">
      <c r="A143" s="74" t="s">
        <v>301</v>
      </c>
      <c r="B143" s="60"/>
      <c r="C143" s="61">
        <f>C35+C51+C64</f>
        <v>963.20454545454538</v>
      </c>
      <c r="D143" s="61">
        <f>D35+D51+D64+D78+D91</f>
        <v>824.67821900826436</v>
      </c>
      <c r="E143" s="61">
        <f>E35+E51+E64+E78+E91+E105+E118</f>
        <v>706.07449696543927</v>
      </c>
      <c r="F143" s="76"/>
    </row>
    <row r="144" spans="1:6" x14ac:dyDescent="0.25">
      <c r="A144" s="72" t="s">
        <v>91</v>
      </c>
      <c r="B144" s="64"/>
      <c r="C144" s="65"/>
      <c r="D144" s="65">
        <f>D143/C143-1</f>
        <v>-0.14381818181818184</v>
      </c>
      <c r="E144" s="65">
        <f>E143/D143-1</f>
        <v>-0.14381818181818207</v>
      </c>
      <c r="F144" s="76"/>
    </row>
    <row r="145" spans="1:7" x14ac:dyDescent="0.25">
      <c r="A145" s="112" t="s">
        <v>302</v>
      </c>
      <c r="B145" s="135">
        <f>B36</f>
        <v>615.38461538461536</v>
      </c>
      <c r="C145" s="135">
        <f>C36+C52</f>
        <v>627.69230769230762</v>
      </c>
      <c r="D145" s="135">
        <f>D36+D52+D65+D79</f>
        <v>537.41874125874119</v>
      </c>
      <c r="E145" s="135">
        <f>E36+E52+E65+E79+E92+E106</f>
        <v>460.12815501589319</v>
      </c>
      <c r="F145" s="76"/>
    </row>
    <row r="146" spans="1:7" x14ac:dyDescent="0.25">
      <c r="A146" s="74" t="s">
        <v>303</v>
      </c>
      <c r="B146" s="61">
        <f>B140-B145</f>
        <v>634.61538461538464</v>
      </c>
      <c r="C146" s="61">
        <f>C140-C145</f>
        <v>647.30769230769238</v>
      </c>
      <c r="D146" s="61">
        <f>D140-D145</f>
        <v>554.21307692307687</v>
      </c>
      <c r="E146" s="61">
        <f>E140-E145</f>
        <v>474.50715986013972</v>
      </c>
      <c r="F146" s="76"/>
    </row>
    <row r="147" spans="1:7" x14ac:dyDescent="0.25">
      <c r="A147" s="74" t="s">
        <v>304</v>
      </c>
      <c r="B147" s="61">
        <f>B37</f>
        <v>509.61538461538464</v>
      </c>
      <c r="C147" s="61">
        <f>C37+C53</f>
        <v>519.80769230769238</v>
      </c>
      <c r="D147" s="61">
        <f>D37+D53+D66+D80</f>
        <v>445.0498951048952</v>
      </c>
      <c r="E147" s="61">
        <f>E37+E53+E66+E80+E93+E107</f>
        <v>381.04362837253643</v>
      </c>
      <c r="F147" s="75"/>
    </row>
    <row r="148" spans="1:7" x14ac:dyDescent="0.25">
      <c r="A148" s="74" t="s">
        <v>263</v>
      </c>
      <c r="B148" s="137">
        <f>B147/B146</f>
        <v>0.80303030303030298</v>
      </c>
      <c r="C148" s="137">
        <f>C147/C146</f>
        <v>0.80303030303030309</v>
      </c>
      <c r="D148" s="137">
        <f>D147/D146</f>
        <v>0.80303030303030332</v>
      </c>
      <c r="E148" s="137">
        <f>E147/E146</f>
        <v>0.80303030303030298</v>
      </c>
      <c r="F148" s="75"/>
    </row>
    <row r="149" spans="1:7" x14ac:dyDescent="0.25">
      <c r="A149" s="74" t="s">
        <v>305</v>
      </c>
      <c r="B149" s="61">
        <f>B147/B127</f>
        <v>50.961538461538467</v>
      </c>
      <c r="C149" s="61">
        <f>C147/C126</f>
        <v>51.980769230769241</v>
      </c>
      <c r="D149" s="61">
        <f>D147/D126</f>
        <v>55.6312368881119</v>
      </c>
      <c r="E149" s="61">
        <f>E147/E126</f>
        <v>59.538066933208817</v>
      </c>
      <c r="F149" s="87"/>
    </row>
    <row r="150" spans="1:7" x14ac:dyDescent="0.25">
      <c r="A150" s="74" t="s">
        <v>91</v>
      </c>
      <c r="B150" s="60"/>
      <c r="C150" s="62">
        <f>C149/B149-1</f>
        <v>2.0000000000000018E-2</v>
      </c>
      <c r="D150" s="62">
        <f>D149/C149-1</f>
        <v>7.0227272727272805E-2</v>
      </c>
      <c r="E150" s="62">
        <f>E149/D149-1</f>
        <v>7.0227272727272139E-2</v>
      </c>
      <c r="F150" s="87"/>
      <c r="G150" t="s">
        <v>315</v>
      </c>
    </row>
    <row r="151" spans="1:7" x14ac:dyDescent="0.25">
      <c r="A151" s="74" t="s">
        <v>282</v>
      </c>
      <c r="B151" s="60"/>
      <c r="C151" s="61">
        <f>C55+C68</f>
        <v>20.47727272727272</v>
      </c>
      <c r="D151" s="61">
        <f>D82+D95</f>
        <v>17.53226859504133</v>
      </c>
      <c r="E151" s="61">
        <f>E109+E122</f>
        <v>15.010809602554474</v>
      </c>
      <c r="F151" s="87"/>
    </row>
    <row r="152" spans="1:7" x14ac:dyDescent="0.25">
      <c r="A152" s="74" t="s">
        <v>283</v>
      </c>
      <c r="B152" s="60"/>
      <c r="C152" s="61">
        <f>C68</f>
        <v>20.47727272727272</v>
      </c>
      <c r="D152" s="61">
        <f>D95</f>
        <v>17.53226859504133</v>
      </c>
      <c r="E152" s="61">
        <f>E122</f>
        <v>15.010809602554474</v>
      </c>
      <c r="F152" s="87"/>
    </row>
    <row r="153" spans="1:7" x14ac:dyDescent="0.25">
      <c r="A153" s="74" t="s">
        <v>284</v>
      </c>
      <c r="B153" s="61"/>
      <c r="C153" s="61">
        <f>C37+C53+C66</f>
        <v>436.32342657342662</v>
      </c>
      <c r="D153" s="61">
        <f>D37+D53+D66+D80+D93</f>
        <v>373.57218467895746</v>
      </c>
      <c r="E153" s="61">
        <f>E37+E53+E66+E80+E93+E107+E120</f>
        <v>319.84571230058361</v>
      </c>
      <c r="F153" s="75"/>
      <c r="G153" s="8"/>
    </row>
    <row r="154" spans="1:7" x14ac:dyDescent="0.25">
      <c r="A154" s="74" t="s">
        <v>91</v>
      </c>
      <c r="B154" s="61"/>
      <c r="C154" s="61"/>
      <c r="D154" s="62">
        <f>D153/C153-1</f>
        <v>-0.14381818181818173</v>
      </c>
      <c r="E154" s="62">
        <f>E153/D153-1</f>
        <v>-0.14381818181818218</v>
      </c>
      <c r="F154" s="75"/>
    </row>
    <row r="155" spans="1:7" x14ac:dyDescent="0.25">
      <c r="A155" s="74" t="s">
        <v>306</v>
      </c>
      <c r="B155" s="61"/>
      <c r="C155" s="61">
        <f>C153/C127</f>
        <v>54.540428321678327</v>
      </c>
      <c r="D155" s="61">
        <f>D153/D127</f>
        <v>58.370653856087102</v>
      </c>
      <c r="E155" s="61">
        <f>E153/E127</f>
        <v>62.469865683707724</v>
      </c>
      <c r="F155" s="75"/>
    </row>
    <row r="156" spans="1:7" x14ac:dyDescent="0.25">
      <c r="A156" s="74" t="s">
        <v>91</v>
      </c>
      <c r="B156" s="60"/>
      <c r="C156" s="62"/>
      <c r="D156" s="62">
        <f>D155/C155-1</f>
        <v>7.0227272727272805E-2</v>
      </c>
      <c r="E156" s="62">
        <f>E155/D155-1</f>
        <v>7.0227272727271917E-2</v>
      </c>
      <c r="F156" s="76"/>
    </row>
    <row r="157" spans="1:7" x14ac:dyDescent="0.25">
      <c r="A157" s="74" t="s">
        <v>219</v>
      </c>
      <c r="B157" s="61"/>
      <c r="C157" s="61">
        <f>(C155-C149)*C127</f>
        <v>20.477272727272691</v>
      </c>
      <c r="D157" s="61">
        <f>(D155-D149)*D127</f>
        <v>17.532268595041298</v>
      </c>
      <c r="E157" s="61">
        <f>(E155-E149)*E127</f>
        <v>15.010809602554403</v>
      </c>
      <c r="F157" s="131"/>
    </row>
    <row r="158" spans="1:7" x14ac:dyDescent="0.25">
      <c r="A158" s="70" t="s">
        <v>132</v>
      </c>
      <c r="B158" s="66"/>
      <c r="C158" s="66">
        <f>D134/C155</f>
        <v>8.8301886792452822E-2</v>
      </c>
      <c r="D158" s="66">
        <f>E134/D155</f>
        <v>8.8301886792452808E-2</v>
      </c>
      <c r="E158" s="66">
        <f>F134/E155</f>
        <v>8.8301886792452849E-2</v>
      </c>
      <c r="F158" s="76"/>
    </row>
    <row r="159" spans="1:7" x14ac:dyDescent="0.25">
      <c r="A159" s="74" t="s">
        <v>98</v>
      </c>
      <c r="B159" s="62"/>
      <c r="C159" s="62">
        <f>D138/C155</f>
        <v>0.11245283018867916</v>
      </c>
      <c r="D159" s="62">
        <f>E138/D155</f>
        <v>0.1124528301886794</v>
      </c>
      <c r="E159" s="62"/>
      <c r="F159" s="136"/>
      <c r="G159" t="s">
        <v>314</v>
      </c>
    </row>
    <row r="160" spans="1:7" x14ac:dyDescent="0.25">
      <c r="A160" s="74" t="s">
        <v>354</v>
      </c>
      <c r="B160" s="62"/>
      <c r="C160" s="166">
        <f>C155/C134</f>
        <v>12.120095182595184</v>
      </c>
      <c r="D160" s="166">
        <f>D155/D134</f>
        <v>12.120095182595183</v>
      </c>
      <c r="E160" s="166">
        <f>E155/E134</f>
        <v>12.120095182595177</v>
      </c>
      <c r="F160" s="136"/>
      <c r="G160" t="s">
        <v>358</v>
      </c>
    </row>
    <row r="161" spans="1:7" x14ac:dyDescent="0.25">
      <c r="A161" s="74" t="s">
        <v>355</v>
      </c>
      <c r="B161" s="62"/>
      <c r="C161" s="166">
        <f>C155/C138</f>
        <v>9.5171217205613257</v>
      </c>
      <c r="D161" s="166">
        <f>D155/D138</f>
        <v>9.5171217205613257</v>
      </c>
      <c r="E161" s="166">
        <f>E155/E138</f>
        <v>9.517121720561299</v>
      </c>
      <c r="F161" s="136"/>
      <c r="G161" t="s">
        <v>356</v>
      </c>
    </row>
    <row r="162" spans="1:7" x14ac:dyDescent="0.25">
      <c r="A162" s="74" t="s">
        <v>352</v>
      </c>
      <c r="B162" s="62"/>
      <c r="C162" s="166">
        <f>C155/D134</f>
        <v>11.324786324786325</v>
      </c>
      <c r="D162" s="166">
        <f>D155/E134</f>
        <v>11.324786324786327</v>
      </c>
      <c r="E162" s="166">
        <f>E155/F134</f>
        <v>11.324786324786324</v>
      </c>
      <c r="F162" s="76"/>
      <c r="G162" t="s">
        <v>329</v>
      </c>
    </row>
    <row r="163" spans="1:7" x14ac:dyDescent="0.25">
      <c r="A163" s="72" t="s">
        <v>353</v>
      </c>
      <c r="B163" s="64"/>
      <c r="C163" s="167">
        <f>C155/D138</f>
        <v>8.8926174496644368</v>
      </c>
      <c r="D163" s="167">
        <f>D155/E138</f>
        <v>8.8926174496644173</v>
      </c>
      <c r="E163" s="167">
        <f>E155/F138</f>
        <v>11.324786324786324</v>
      </c>
      <c r="F163" s="78"/>
      <c r="G163" t="s">
        <v>330</v>
      </c>
    </row>
    <row r="164" spans="1:7" x14ac:dyDescent="0.25">
      <c r="A164" s="74" t="s">
        <v>307</v>
      </c>
      <c r="B164" s="62">
        <f>B145/B140</f>
        <v>0.49230769230769228</v>
      </c>
      <c r="C164" s="62">
        <f>C145/C140</f>
        <v>0.49230769230769228</v>
      </c>
      <c r="D164" s="62">
        <f>D145/D140</f>
        <v>0.49230769230769228</v>
      </c>
      <c r="E164" s="62">
        <f>E145/E140</f>
        <v>0.49230769230769239</v>
      </c>
      <c r="F164" s="136"/>
    </row>
    <row r="165" spans="1:7" x14ac:dyDescent="0.25">
      <c r="A165" s="74" t="s">
        <v>308</v>
      </c>
      <c r="B165" s="62">
        <f>B145/B141</f>
        <v>0.54700854700854695</v>
      </c>
      <c r="C165" s="62">
        <f>C145/C141</f>
        <v>0.54700854700854695</v>
      </c>
      <c r="D165" s="62">
        <f>D145/D141</f>
        <v>0.54700854700854695</v>
      </c>
      <c r="E165" s="62">
        <f>E145/E141</f>
        <v>0.54700854700854717</v>
      </c>
      <c r="F165" s="136"/>
    </row>
    <row r="166" spans="1:7" x14ac:dyDescent="0.25">
      <c r="A166" s="74" t="s">
        <v>309</v>
      </c>
      <c r="B166" s="62">
        <f>B36/B35</f>
        <v>0.54700854700854695</v>
      </c>
      <c r="C166" s="62">
        <f>(C36+C52+C65)/(C35+C51+C64)</f>
        <v>0.54700854700854695</v>
      </c>
      <c r="D166" s="62">
        <f>(D36+D52+D65+D79+D92)/(D35+D51+D64+D78+D91)</f>
        <v>0.54700854700854695</v>
      </c>
      <c r="E166" s="62">
        <f>(E36+E52+E65+E79+E92)/(E35+E51+E64+E78+E91)</f>
        <v>0.54700854700854717</v>
      </c>
      <c r="F166" s="76"/>
    </row>
    <row r="167" spans="1:7" x14ac:dyDescent="0.25">
      <c r="A167" s="74" t="s">
        <v>162</v>
      </c>
      <c r="B167" s="60"/>
      <c r="C167" s="118">
        <f>C24/C30</f>
        <v>2.5</v>
      </c>
      <c r="D167" s="118">
        <f>(D24+D44+D57)/(D30+D46+D59)</f>
        <v>2.5</v>
      </c>
      <c r="E167" s="118">
        <f>(E24+E44+E57)/(E30+E46+E59)</f>
        <v>2.5000000000000004</v>
      </c>
      <c r="F167" s="132">
        <f>(F24+F44+F57)/(F30+F46+F59)</f>
        <v>2.5</v>
      </c>
    </row>
    <row r="168" spans="1:7" x14ac:dyDescent="0.25">
      <c r="A168" s="72" t="s">
        <v>245</v>
      </c>
      <c r="B168" s="64"/>
      <c r="C168" s="127">
        <f>-C155</f>
        <v>-54.540428321678327</v>
      </c>
      <c r="D168" s="127">
        <f>D138</f>
        <v>6.1332255244755203</v>
      </c>
      <c r="E168" s="127">
        <f>E138+E155</f>
        <v>69.033810909788471</v>
      </c>
      <c r="F168" s="138" t="s">
        <v>133</v>
      </c>
      <c r="G168" s="82">
        <f>IRR(C168:E168)</f>
        <v>0.18268010291059511</v>
      </c>
    </row>
    <row r="169" spans="1:7" x14ac:dyDescent="0.25">
      <c r="A169" s="74" t="s">
        <v>244</v>
      </c>
      <c r="B169" s="61"/>
      <c r="C169" s="61">
        <f>-C149</f>
        <v>-51.980769230769241</v>
      </c>
      <c r="D169" s="61">
        <f>D138</f>
        <v>6.1332255244755203</v>
      </c>
      <c r="E169" s="61">
        <f>E138+E149</f>
        <v>66.102012159289558</v>
      </c>
      <c r="F169" s="133" t="s">
        <v>133</v>
      </c>
      <c r="G169" s="82">
        <f>IRR(C169:E169)</f>
        <v>0.18821755288736375</v>
      </c>
    </row>
    <row r="170" spans="1:7" ht="13.8" thickBot="1" x14ac:dyDescent="0.3">
      <c r="A170" s="79" t="s">
        <v>246</v>
      </c>
      <c r="B170" s="134"/>
      <c r="C170" s="80">
        <f>-C155</f>
        <v>-54.540428321678327</v>
      </c>
      <c r="D170" s="80">
        <f>E138</f>
        <v>6.5639452260807474</v>
      </c>
      <c r="E170" s="80">
        <f>E138+E149</f>
        <v>66.102012159289558</v>
      </c>
      <c r="F170" s="81" t="s">
        <v>133</v>
      </c>
      <c r="G170" s="82">
        <f>IRR(C170:E170)</f>
        <v>0.16271889222713742</v>
      </c>
    </row>
    <row r="171" spans="1:7" x14ac:dyDescent="0.25">
      <c r="A171" s="146" t="s">
        <v>271</v>
      </c>
      <c r="B171" s="68"/>
      <c r="C171" s="147">
        <f>D138/($H$17-$H$21)</f>
        <v>54.540428321678213</v>
      </c>
      <c r="D171" s="147">
        <f>E138/($H$17-$H$21)</f>
        <v>58.370653856087102</v>
      </c>
      <c r="E171" s="147"/>
      <c r="F171" s="69"/>
      <c r="G171" t="s">
        <v>314</v>
      </c>
    </row>
    <row r="172" spans="1:7" x14ac:dyDescent="0.25">
      <c r="A172" s="148" t="s">
        <v>272</v>
      </c>
      <c r="B172" s="60"/>
      <c r="C172" s="61">
        <f>D134/($H$16-$H$20)</f>
        <v>54.540428321678334</v>
      </c>
      <c r="D172" s="61">
        <f>E134/($H$16-$H$20)</f>
        <v>58.370653856087095</v>
      </c>
      <c r="E172" s="61">
        <f>F134/($H$16-$H$20)</f>
        <v>62.469865683707738</v>
      </c>
      <c r="F172" s="136"/>
    </row>
    <row r="173" spans="1:7" x14ac:dyDescent="0.25">
      <c r="A173" s="148" t="s">
        <v>273</v>
      </c>
      <c r="B173" s="60"/>
      <c r="C173" s="61">
        <f>(D31+D47)/C126</f>
        <v>4.5900000000000007</v>
      </c>
      <c r="D173" s="61">
        <f>(E31+E47+E60+E74)/D126</f>
        <v>4.9123431818181817</v>
      </c>
      <c r="E173" s="61">
        <f>(F31+F47+F60+F74+F87+F101)/E126</f>
        <v>5.2573236461776851</v>
      </c>
      <c r="F173" s="136"/>
    </row>
    <row r="174" spans="1:7" x14ac:dyDescent="0.25">
      <c r="A174" s="148" t="s">
        <v>274</v>
      </c>
      <c r="B174" s="60"/>
      <c r="C174" s="61">
        <f>D60/(C127-C126)</f>
        <v>3.6859090909090928</v>
      </c>
      <c r="D174" s="61">
        <f>E87/(D127-D126)</f>
        <v>3.9447604338842996</v>
      </c>
      <c r="E174" s="61">
        <f>F114/(E127-E126)</f>
        <v>4.2217902007184467</v>
      </c>
      <c r="F174" s="136" t="s">
        <v>281</v>
      </c>
    </row>
    <row r="175" spans="1:7" ht="13.8" thickBot="1" x14ac:dyDescent="0.3">
      <c r="A175" s="149" t="s">
        <v>276</v>
      </c>
      <c r="B175" s="134"/>
      <c r="C175" s="150">
        <f>C174/C173</f>
        <v>0.80303030303030332</v>
      </c>
      <c r="D175" s="150">
        <f>D174/D173</f>
        <v>0.80303030303030343</v>
      </c>
      <c r="E175" s="150">
        <f>E174/E173</f>
        <v>0.80303030303030354</v>
      </c>
      <c r="F175" s="151" t="s">
        <v>277</v>
      </c>
    </row>
  </sheetData>
  <phoneticPr fontId="2"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workbookViewId="0"/>
  </sheetViews>
  <sheetFormatPr defaultRowHeight="13.2" x14ac:dyDescent="0.25"/>
  <cols>
    <col min="1" max="1" width="37" customWidth="1"/>
    <col min="2" max="2" width="9.44140625" customWidth="1"/>
    <col min="3" max="3" width="25" customWidth="1"/>
    <col min="4" max="4" width="9.44140625" customWidth="1"/>
    <col min="5" max="5" width="9.33203125" customWidth="1"/>
    <col min="7" max="7" width="10.44140625" customWidth="1"/>
    <col min="8" max="8" width="5.88671875" customWidth="1"/>
    <col min="9" max="9" width="5" customWidth="1"/>
  </cols>
  <sheetData>
    <row r="1" spans="1:5" x14ac:dyDescent="0.25">
      <c r="A1" s="93" t="s">
        <v>116</v>
      </c>
    </row>
    <row r="2" spans="1:5" x14ac:dyDescent="0.25">
      <c r="A2" t="s">
        <v>319</v>
      </c>
    </row>
    <row r="3" spans="1:5" ht="13.8" thickBot="1" x14ac:dyDescent="0.3">
      <c r="A3" t="s">
        <v>335</v>
      </c>
    </row>
    <row r="4" spans="1:5" x14ac:dyDescent="0.25">
      <c r="A4" s="214"/>
      <c r="B4" s="215" t="s">
        <v>108</v>
      </c>
    </row>
    <row r="5" spans="1:5" x14ac:dyDescent="0.25">
      <c r="A5" s="216" t="s">
        <v>1</v>
      </c>
      <c r="B5" s="217">
        <f>1</f>
        <v>1</v>
      </c>
      <c r="C5" s="17"/>
      <c r="D5" s="17" t="s">
        <v>109</v>
      </c>
    </row>
    <row r="6" spans="1:5" x14ac:dyDescent="0.25">
      <c r="A6" s="216" t="s">
        <v>2</v>
      </c>
      <c r="B6" s="217">
        <v>7.0000000000000007E-2</v>
      </c>
      <c r="C6" s="1" t="s">
        <v>0</v>
      </c>
      <c r="D6" s="17">
        <f>B26</f>
        <v>1</v>
      </c>
      <c r="E6" s="55" t="s">
        <v>115</v>
      </c>
    </row>
    <row r="7" spans="1:5" x14ac:dyDescent="0.25">
      <c r="A7" s="216" t="s">
        <v>19</v>
      </c>
      <c r="B7" s="218">
        <v>10</v>
      </c>
      <c r="C7" s="19" t="s">
        <v>55</v>
      </c>
      <c r="D7" s="17">
        <f>D12/D22</f>
        <v>7.0000000000000007E-2</v>
      </c>
    </row>
    <row r="8" spans="1:5" x14ac:dyDescent="0.25">
      <c r="A8" s="216" t="s">
        <v>20</v>
      </c>
      <c r="B8" s="217">
        <v>5.5E-2</v>
      </c>
      <c r="C8" s="1" t="s">
        <v>341</v>
      </c>
      <c r="D8" s="168">
        <f>I20</f>
        <v>0.25193378394400223</v>
      </c>
      <c r="E8" t="s">
        <v>342</v>
      </c>
    </row>
    <row r="9" spans="1:5" ht="13.8" thickBot="1" x14ac:dyDescent="0.3">
      <c r="A9" s="220" t="s">
        <v>385</v>
      </c>
      <c r="B9" s="219">
        <v>2.5</v>
      </c>
    </row>
    <row r="10" spans="1:5" x14ac:dyDescent="0.25">
      <c r="B10" t="s">
        <v>39</v>
      </c>
      <c r="D10" t="s">
        <v>38</v>
      </c>
    </row>
    <row r="11" spans="1:5" x14ac:dyDescent="0.25">
      <c r="A11" s="2" t="s">
        <v>3</v>
      </c>
      <c r="B11" t="s">
        <v>5</v>
      </c>
      <c r="D11" t="s">
        <v>6</v>
      </c>
    </row>
    <row r="12" spans="1:5" x14ac:dyDescent="0.25">
      <c r="A12" s="4" t="s">
        <v>4</v>
      </c>
      <c r="B12" s="6">
        <v>100</v>
      </c>
      <c r="C12" s="11" t="s">
        <v>7</v>
      </c>
      <c r="D12" s="6">
        <f>B12</f>
        <v>100</v>
      </c>
    </row>
    <row r="13" spans="1:5" x14ac:dyDescent="0.25">
      <c r="A13" s="3" t="s">
        <v>9</v>
      </c>
      <c r="B13" s="10">
        <f>B12/B9</f>
        <v>40</v>
      </c>
      <c r="C13" s="12" t="s">
        <v>9</v>
      </c>
      <c r="D13" s="10">
        <f>B13</f>
        <v>40</v>
      </c>
    </row>
    <row r="14" spans="1:5" x14ac:dyDescent="0.25">
      <c r="B14" s="8"/>
      <c r="C14" s="11" t="s">
        <v>12</v>
      </c>
      <c r="D14" s="6">
        <f>D12-D13</f>
        <v>60</v>
      </c>
    </row>
    <row r="15" spans="1:5" x14ac:dyDescent="0.25">
      <c r="A15" s="3" t="s">
        <v>13</v>
      </c>
      <c r="B15" s="10">
        <f>(3/4)*0.8*B12/B6/39</f>
        <v>21.978021978021978</v>
      </c>
      <c r="C15" s="12" t="s">
        <v>13</v>
      </c>
      <c r="D15" s="10">
        <f>B15</f>
        <v>21.978021978021978</v>
      </c>
    </row>
    <row r="16" spans="1:5" x14ac:dyDescent="0.25">
      <c r="A16" s="4" t="s">
        <v>16</v>
      </c>
      <c r="B16" s="6">
        <f>B12-B13-B15</f>
        <v>38.021978021978022</v>
      </c>
      <c r="C16" s="11" t="s">
        <v>14</v>
      </c>
      <c r="D16" s="6">
        <f>D14-D15</f>
        <v>38.021978021978022</v>
      </c>
    </row>
    <row r="17" spans="1:10" x14ac:dyDescent="0.25">
      <c r="A17" s="222" t="s">
        <v>387</v>
      </c>
      <c r="B17" s="8">
        <f>-PMT(B8,40,B23)-B8*B23</f>
        <v>4.255680198745079</v>
      </c>
      <c r="C17" s="13" t="s">
        <v>10</v>
      </c>
      <c r="D17" s="8">
        <f>B17</f>
        <v>4.255680198745079</v>
      </c>
    </row>
    <row r="18" spans="1:10" x14ac:dyDescent="0.25">
      <c r="A18" s="3" t="s">
        <v>8</v>
      </c>
      <c r="B18" s="10">
        <f>0.1*B12</f>
        <v>10</v>
      </c>
      <c r="C18" s="12" t="s">
        <v>8</v>
      </c>
      <c r="D18" s="10">
        <f>B18</f>
        <v>10</v>
      </c>
    </row>
    <row r="19" spans="1:10" x14ac:dyDescent="0.25">
      <c r="A19" s="4" t="s">
        <v>11</v>
      </c>
      <c r="B19" s="6">
        <f>B12-B13-B17-B18</f>
        <v>45.744319801254917</v>
      </c>
      <c r="C19" s="11" t="s">
        <v>15</v>
      </c>
      <c r="D19" s="6">
        <f>D14-D17-D18</f>
        <v>45.744319801254917</v>
      </c>
    </row>
    <row r="20" spans="1:10" x14ac:dyDescent="0.25">
      <c r="A20" s="1" t="s">
        <v>17</v>
      </c>
      <c r="B20" s="8"/>
      <c r="C20" s="8"/>
      <c r="D20" s="8">
        <f>0.9*D16</f>
        <v>34.219780219780219</v>
      </c>
      <c r="E20" t="s">
        <v>331</v>
      </c>
      <c r="I20" s="168">
        <f>(D19-D20)/D19</f>
        <v>0.25193378394400223</v>
      </c>
      <c r="J20" t="s">
        <v>332</v>
      </c>
    </row>
    <row r="21" spans="1:10" x14ac:dyDescent="0.25">
      <c r="B21" s="8"/>
      <c r="C21" s="8"/>
      <c r="D21" s="8"/>
      <c r="E21" t="s">
        <v>333</v>
      </c>
      <c r="H21" s="168">
        <f>D20/D14</f>
        <v>0.5703296703296703</v>
      </c>
      <c r="I21" t="s">
        <v>334</v>
      </c>
    </row>
    <row r="22" spans="1:10" x14ac:dyDescent="0.25">
      <c r="A22" s="1" t="s">
        <v>18</v>
      </c>
      <c r="B22" s="8">
        <f>B12/B6</f>
        <v>1428.5714285714284</v>
      </c>
      <c r="C22" s="13" t="s">
        <v>18</v>
      </c>
      <c r="D22" s="8">
        <f>B22*B5</f>
        <v>1428.5714285714284</v>
      </c>
    </row>
    <row r="23" spans="1:10" x14ac:dyDescent="0.25">
      <c r="A23" s="221" t="s">
        <v>386</v>
      </c>
      <c r="B23" s="10">
        <f>-PV(B8,30,B12/B9)</f>
        <v>581.34980684488244</v>
      </c>
      <c r="C23" s="12" t="s">
        <v>21</v>
      </c>
      <c r="D23" s="10">
        <f>B23</f>
        <v>581.34980684488244</v>
      </c>
    </row>
    <row r="24" spans="1:10" x14ac:dyDescent="0.25">
      <c r="A24" s="4" t="s">
        <v>22</v>
      </c>
      <c r="B24" s="6">
        <f>B22-B23</f>
        <v>847.221621726546</v>
      </c>
      <c r="C24" s="11" t="s">
        <v>22</v>
      </c>
      <c r="D24" s="6">
        <f>D22-D23</f>
        <v>847.221621726546</v>
      </c>
    </row>
    <row r="26" spans="1:10" ht="13.8" thickBot="1" x14ac:dyDescent="0.3">
      <c r="A26" s="4" t="s">
        <v>23</v>
      </c>
      <c r="B26" s="16">
        <f>D24/B24</f>
        <v>1</v>
      </c>
      <c r="C26" s="5"/>
      <c r="D26" s="5"/>
    </row>
    <row r="27" spans="1:10" ht="13.8" thickBot="1" x14ac:dyDescent="0.3">
      <c r="A27" s="56" t="s">
        <v>24</v>
      </c>
      <c r="B27" s="57"/>
      <c r="C27" s="57"/>
      <c r="D27" s="58">
        <f>D24/B7</f>
        <v>84.722162172654606</v>
      </c>
    </row>
    <row r="28" spans="1:10" x14ac:dyDescent="0.25">
      <c r="A28" s="4" t="s">
        <v>48</v>
      </c>
      <c r="B28" s="5"/>
      <c r="C28" s="5"/>
      <c r="D28" s="18">
        <f>D19/B7</f>
        <v>4.5744319801254916</v>
      </c>
      <c r="E28" s="17">
        <f>D28/D27</f>
        <v>5.3993333772611868E-2</v>
      </c>
      <c r="F28" t="s">
        <v>56</v>
      </c>
    </row>
    <row r="30" spans="1:10" x14ac:dyDescent="0.25">
      <c r="A30" s="7" t="s">
        <v>25</v>
      </c>
    </row>
    <row r="31" spans="1:10" x14ac:dyDescent="0.25">
      <c r="A31" s="20" t="s">
        <v>58</v>
      </c>
      <c r="D31" s="8">
        <f>D19</f>
        <v>45.744319801254917</v>
      </c>
    </row>
    <row r="32" spans="1:10" x14ac:dyDescent="0.25">
      <c r="A32" s="20" t="s">
        <v>59</v>
      </c>
      <c r="D32" s="8">
        <f>D31/B7</f>
        <v>4.5744319801254916</v>
      </c>
      <c r="E32" s="17">
        <f>D32/D27</f>
        <v>5.3993333772611868E-2</v>
      </c>
      <c r="F32" t="s">
        <v>60</v>
      </c>
    </row>
    <row r="33" spans="1:7" x14ac:dyDescent="0.25">
      <c r="A33" s="7"/>
    </row>
    <row r="34" spans="1:7" x14ac:dyDescent="0.25">
      <c r="A34" s="1" t="s">
        <v>30</v>
      </c>
      <c r="B34" s="9">
        <v>0.1</v>
      </c>
      <c r="C34" t="s">
        <v>26</v>
      </c>
      <c r="D34" s="14">
        <f>B34*B7</f>
        <v>1</v>
      </c>
    </row>
    <row r="35" spans="1:7" x14ac:dyDescent="0.25">
      <c r="C35" s="1" t="s">
        <v>29</v>
      </c>
      <c r="D35" s="8">
        <f>D34*D27</f>
        <v>84.722162172654606</v>
      </c>
    </row>
    <row r="36" spans="1:7" x14ac:dyDescent="0.25">
      <c r="A36" s="1" t="s">
        <v>27</v>
      </c>
      <c r="C36" s="3" t="s">
        <v>28</v>
      </c>
      <c r="D36" s="10">
        <f>(D23/D24)*D35</f>
        <v>58.134980684488248</v>
      </c>
    </row>
    <row r="37" spans="1:7" x14ac:dyDescent="0.25">
      <c r="C37" s="4" t="s">
        <v>31</v>
      </c>
      <c r="D37" s="6">
        <f>SUM(D35:D36)</f>
        <v>142.85714285714286</v>
      </c>
    </row>
    <row r="38" spans="1:7" x14ac:dyDescent="0.25">
      <c r="A38" s="1" t="s">
        <v>32</v>
      </c>
      <c r="B38" s="8">
        <f>D37</f>
        <v>142.85714285714286</v>
      </c>
      <c r="D38" s="8">
        <f>B5*B38</f>
        <v>142.85714285714286</v>
      </c>
    </row>
    <row r="39" spans="1:7" x14ac:dyDescent="0.25">
      <c r="A39" s="1" t="s">
        <v>34</v>
      </c>
      <c r="B39" s="8">
        <f>B38-D37</f>
        <v>0</v>
      </c>
      <c r="C39" s="1" t="s">
        <v>33</v>
      </c>
      <c r="D39" s="8">
        <f>D38-D37</f>
        <v>0</v>
      </c>
    </row>
    <row r="41" spans="1:7" x14ac:dyDescent="0.25">
      <c r="A41" s="2" t="s">
        <v>35</v>
      </c>
    </row>
    <row r="42" spans="1:7" x14ac:dyDescent="0.25">
      <c r="A42" s="1" t="s">
        <v>36</v>
      </c>
      <c r="B42" s="8">
        <f>B22+B38</f>
        <v>1571.4285714285713</v>
      </c>
      <c r="C42" s="1" t="s">
        <v>36</v>
      </c>
      <c r="D42" s="8">
        <f>B5*B42</f>
        <v>1571.4285714285713</v>
      </c>
      <c r="E42" s="8">
        <f>D22+D38</f>
        <v>1571.4285714285713</v>
      </c>
      <c r="F42" t="s">
        <v>37</v>
      </c>
      <c r="G42">
        <f>D42/D22</f>
        <v>1.1000000000000001</v>
      </c>
    </row>
    <row r="43" spans="1:7" x14ac:dyDescent="0.25">
      <c r="A43" s="3" t="s">
        <v>42</v>
      </c>
      <c r="B43" s="10">
        <f>B23+D36</f>
        <v>639.48478752937069</v>
      </c>
      <c r="C43" s="3" t="s">
        <v>42</v>
      </c>
      <c r="D43" s="10">
        <f>D23+D36</f>
        <v>639.48478752937069</v>
      </c>
    </row>
    <row r="44" spans="1:7" x14ac:dyDescent="0.25">
      <c r="A44" s="4" t="s">
        <v>43</v>
      </c>
      <c r="B44" s="6">
        <f>B42-B43</f>
        <v>931.94378389920064</v>
      </c>
      <c r="C44" s="5"/>
      <c r="D44" s="6">
        <f>D42-D43</f>
        <v>931.94378389920064</v>
      </c>
      <c r="G44">
        <f>D44/D24</f>
        <v>1.1000000000000001</v>
      </c>
    </row>
    <row r="45" spans="1:7" ht="13.8" thickBot="1" x14ac:dyDescent="0.3">
      <c r="A45" s="1" t="s">
        <v>40</v>
      </c>
      <c r="D45" s="15">
        <f>B7+D34</f>
        <v>11</v>
      </c>
    </row>
    <row r="46" spans="1:7" ht="13.8" thickBot="1" x14ac:dyDescent="0.3">
      <c r="A46" s="56" t="s">
        <v>41</v>
      </c>
      <c r="B46" s="57"/>
      <c r="C46" s="57"/>
      <c r="D46" s="58">
        <f>D44/D45</f>
        <v>84.722162172654606</v>
      </c>
    </row>
    <row r="47" spans="1:7" x14ac:dyDescent="0.25">
      <c r="A47" s="1" t="s">
        <v>44</v>
      </c>
      <c r="B47" s="17">
        <f>D44/B44</f>
        <v>1</v>
      </c>
      <c r="F47" t="s">
        <v>45</v>
      </c>
    </row>
    <row r="49" spans="1:6" x14ac:dyDescent="0.25">
      <c r="A49" s="1" t="s">
        <v>46</v>
      </c>
      <c r="B49" s="8">
        <f>B6*B38</f>
        <v>10.000000000000002</v>
      </c>
      <c r="C49" s="1" t="s">
        <v>47</v>
      </c>
      <c r="D49" s="8">
        <f>B6*B38</f>
        <v>10.000000000000002</v>
      </c>
    </row>
    <row r="50" spans="1:6" x14ac:dyDescent="0.25">
      <c r="A50" s="1" t="s">
        <v>49</v>
      </c>
      <c r="B50" s="8">
        <f>(B19/B12)*B49</f>
        <v>4.5744319801254925</v>
      </c>
      <c r="C50" s="1" t="s">
        <v>50</v>
      </c>
      <c r="D50" s="8">
        <f>B50</f>
        <v>4.5744319801254925</v>
      </c>
    </row>
    <row r="51" spans="1:6" x14ac:dyDescent="0.25">
      <c r="A51" s="1" t="s">
        <v>51</v>
      </c>
      <c r="D51" s="8">
        <f>D50/D34</f>
        <v>4.5744319801254925</v>
      </c>
      <c r="F51" t="s">
        <v>54</v>
      </c>
    </row>
    <row r="52" spans="1:6" x14ac:dyDescent="0.25">
      <c r="A52" s="1" t="s">
        <v>52</v>
      </c>
      <c r="D52" s="8">
        <f>D19+D50</f>
        <v>50.318751781380413</v>
      </c>
    </row>
    <row r="53" spans="1:6" x14ac:dyDescent="0.25">
      <c r="A53" s="4" t="s">
        <v>53</v>
      </c>
      <c r="B53" s="5"/>
      <c r="C53" s="5"/>
      <c r="D53" s="18">
        <f>D52/D45</f>
        <v>4.5744319801254925</v>
      </c>
      <c r="E53" s="17">
        <f>D53/D46</f>
        <v>5.3993333772611875E-2</v>
      </c>
      <c r="F53" t="s">
        <v>57</v>
      </c>
    </row>
  </sheetData>
  <phoneticPr fontId="2"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Intro</vt:lpstr>
      <vt:lpstr>Analyzer</vt:lpstr>
      <vt:lpstr>Simple REIT v Direct Property</vt:lpstr>
      <vt:lpstr>(2) External Equity</vt:lpstr>
      <vt:lpstr>(3) Growth REIT</vt:lpstr>
      <vt:lpstr>(4) Shrinking REIT</vt:lpstr>
      <vt:lpstr>(5) More line items, 1-time</vt:lpstr>
    </vt:vector>
  </TitlesOfParts>
  <Company>Center for Real Estate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Massachusetts Institute of Technology</dc:creator>
  <cp:lastModifiedBy>dgeltner</cp:lastModifiedBy>
  <dcterms:created xsi:type="dcterms:W3CDTF">2005-02-02T20:17:04Z</dcterms:created>
  <dcterms:modified xsi:type="dcterms:W3CDTF">2013-02-18T16:20:48Z</dcterms:modified>
</cp:coreProperties>
</file>