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eltner\Documents\BOOK_3e\DG_3e_work\Ch20\"/>
    </mc:Choice>
  </mc:AlternateContent>
  <bookViews>
    <workbookView xWindow="0" yWindow="108" windowWidth="15192" windowHeight="8196" activeTab="3"/>
  </bookViews>
  <sheets>
    <sheet name="20-5" sheetId="1" r:id="rId1"/>
    <sheet name="20-5 (2)" sheetId="4" r:id="rId2"/>
    <sheet name="20-5 (3)" sheetId="5" r:id="rId3"/>
    <sheet name="Exh 20-7" sheetId="6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N26" i="5" l="1"/>
  <c r="G5" i="5"/>
  <c r="H33" i="5"/>
  <c r="J30" i="5"/>
  <c r="I30" i="5"/>
  <c r="J29" i="5"/>
  <c r="I29" i="5"/>
  <c r="J28" i="5"/>
  <c r="I28" i="5"/>
  <c r="I31" i="5" s="1"/>
  <c r="H19" i="5"/>
  <c r="J16" i="5"/>
  <c r="I16" i="5"/>
  <c r="J15" i="5"/>
  <c r="I15" i="5"/>
  <c r="J14" i="5"/>
  <c r="I14" i="5"/>
  <c r="N12" i="5"/>
  <c r="N14" i="5" s="1"/>
  <c r="M12" i="5"/>
  <c r="M14" i="5" s="1"/>
  <c r="M15" i="5" s="1"/>
  <c r="M7" i="5"/>
  <c r="L7" i="5"/>
  <c r="J7" i="5"/>
  <c r="H7" i="5" s="1"/>
  <c r="K7" i="5" s="1"/>
  <c r="N7" i="5" s="1"/>
  <c r="I7" i="5"/>
  <c r="C7" i="5"/>
  <c r="M6" i="5"/>
  <c r="L6" i="5"/>
  <c r="J6" i="5"/>
  <c r="I6" i="5"/>
  <c r="M5" i="5"/>
  <c r="M8" i="5" s="1"/>
  <c r="L5" i="5"/>
  <c r="L8" i="5" s="1"/>
  <c r="J5" i="5"/>
  <c r="I5" i="5"/>
  <c r="I8" i="5" s="1"/>
  <c r="C5" i="5"/>
  <c r="J6" i="4"/>
  <c r="J8" i="4" s="1"/>
  <c r="N12" i="4"/>
  <c r="N14" i="4" s="1"/>
  <c r="I6" i="4"/>
  <c r="M12" i="4"/>
  <c r="M14" i="4" s="1"/>
  <c r="M15" i="4" s="1"/>
  <c r="J7" i="4"/>
  <c r="I7" i="4"/>
  <c r="H7" i="4" s="1"/>
  <c r="K7" i="4" s="1"/>
  <c r="N7" i="4" s="1"/>
  <c r="J5" i="4"/>
  <c r="I5" i="4"/>
  <c r="C7" i="4"/>
  <c r="C8" i="4" s="1"/>
  <c r="C5" i="4"/>
  <c r="H33" i="4"/>
  <c r="J30" i="4"/>
  <c r="I30" i="4"/>
  <c r="H30" i="4" s="1"/>
  <c r="H16" i="4" s="1"/>
  <c r="J29" i="4"/>
  <c r="I29" i="4"/>
  <c r="H29" i="4" s="1"/>
  <c r="H15" i="4" s="1"/>
  <c r="J28" i="4"/>
  <c r="I28" i="4"/>
  <c r="I31" i="4" s="1"/>
  <c r="H19" i="4"/>
  <c r="J16" i="4"/>
  <c r="I16" i="4"/>
  <c r="J15" i="4"/>
  <c r="I15" i="4"/>
  <c r="J14" i="4"/>
  <c r="J17" i="4" s="1"/>
  <c r="I14" i="4"/>
  <c r="I17" i="4" s="1"/>
  <c r="M7" i="4"/>
  <c r="L7" i="4"/>
  <c r="M6" i="4"/>
  <c r="M8" i="4" s="1"/>
  <c r="M10" i="4" s="1"/>
  <c r="L6" i="4"/>
  <c r="H6" i="4"/>
  <c r="K6" i="4" s="1"/>
  <c r="M5" i="4"/>
  <c r="L5" i="4"/>
  <c r="H5" i="4"/>
  <c r="H18" i="1"/>
  <c r="I13" i="1"/>
  <c r="I14" i="1"/>
  <c r="I15" i="1"/>
  <c r="J13" i="1"/>
  <c r="J14" i="1"/>
  <c r="J15" i="1"/>
  <c r="J27" i="1"/>
  <c r="J28" i="1"/>
  <c r="J29" i="1"/>
  <c r="H29" i="1" s="1"/>
  <c r="H15" i="1" s="1"/>
  <c r="K15" i="1" s="1"/>
  <c r="I27" i="1"/>
  <c r="I28" i="1"/>
  <c r="H28" i="1" s="1"/>
  <c r="H14" i="1" s="1"/>
  <c r="I29" i="1"/>
  <c r="I30" i="1"/>
  <c r="I31" i="1" s="1"/>
  <c r="H32" i="1"/>
  <c r="K9" i="1"/>
  <c r="M6" i="1"/>
  <c r="M4" i="1"/>
  <c r="M5" i="1"/>
  <c r="L4" i="1"/>
  <c r="L5" i="1"/>
  <c r="L6" i="1"/>
  <c r="H9" i="1"/>
  <c r="J6" i="1"/>
  <c r="I6" i="1"/>
  <c r="J5" i="1"/>
  <c r="I5" i="1"/>
  <c r="J4" i="1"/>
  <c r="I4" i="1"/>
  <c r="H10" i="4" l="1"/>
  <c r="K10" i="4"/>
  <c r="K16" i="4"/>
  <c r="N6" i="4"/>
  <c r="L8" i="4"/>
  <c r="L10" i="4" s="1"/>
  <c r="N10" i="4" s="1"/>
  <c r="K15" i="4"/>
  <c r="I8" i="4"/>
  <c r="I10" i="4" s="1"/>
  <c r="C8" i="5"/>
  <c r="J17" i="5"/>
  <c r="J18" i="5" s="1"/>
  <c r="I17" i="5"/>
  <c r="J31" i="5"/>
  <c r="J32" i="5" s="1"/>
  <c r="H30" i="5"/>
  <c r="H16" i="5" s="1"/>
  <c r="H27" i="1"/>
  <c r="H30" i="1" s="1"/>
  <c r="H31" i="1" s="1"/>
  <c r="H28" i="4"/>
  <c r="H14" i="4" s="1"/>
  <c r="K14" i="4" s="1"/>
  <c r="J8" i="5"/>
  <c r="J10" i="5" s="1"/>
  <c r="H6" i="5"/>
  <c r="K6" i="5" s="1"/>
  <c r="N6" i="5" s="1"/>
  <c r="H29" i="5"/>
  <c r="H15" i="5" s="1"/>
  <c r="K15" i="5" s="1"/>
  <c r="J31" i="4"/>
  <c r="M17" i="4"/>
  <c r="M18" i="4" s="1"/>
  <c r="M19" i="4" s="1"/>
  <c r="J9" i="5"/>
  <c r="I9" i="5"/>
  <c r="I10" i="5"/>
  <c r="K10" i="5"/>
  <c r="H10" i="5"/>
  <c r="I18" i="5"/>
  <c r="I19" i="5"/>
  <c r="J33" i="5"/>
  <c r="M17" i="5"/>
  <c r="M18" i="5" s="1"/>
  <c r="K16" i="5"/>
  <c r="M9" i="5"/>
  <c r="M10" i="5"/>
  <c r="I33" i="5"/>
  <c r="I32" i="5"/>
  <c r="L10" i="5"/>
  <c r="L9" i="5"/>
  <c r="M19" i="5"/>
  <c r="H5" i="5"/>
  <c r="H28" i="5"/>
  <c r="J19" i="4"/>
  <c r="J18" i="4"/>
  <c r="J32" i="4"/>
  <c r="J33" i="4"/>
  <c r="I19" i="4"/>
  <c r="I18" i="4"/>
  <c r="I33" i="4"/>
  <c r="C19" i="4" s="1"/>
  <c r="I32" i="4"/>
  <c r="K19" i="4"/>
  <c r="K5" i="4"/>
  <c r="N5" i="4" s="1"/>
  <c r="H8" i="4"/>
  <c r="J9" i="4"/>
  <c r="J10" i="4"/>
  <c r="C10" i="4" s="1"/>
  <c r="H31" i="4"/>
  <c r="I9" i="4"/>
  <c r="M9" i="4"/>
  <c r="H6" i="1"/>
  <c r="K6" i="1" s="1"/>
  <c r="N6" i="1" s="1"/>
  <c r="L7" i="1"/>
  <c r="L8" i="1" s="1"/>
  <c r="I16" i="1"/>
  <c r="I18" i="1" s="1"/>
  <c r="H5" i="1"/>
  <c r="K5" i="1" s="1"/>
  <c r="N5" i="1" s="1"/>
  <c r="K14" i="1"/>
  <c r="M7" i="1"/>
  <c r="M9" i="1" s="1"/>
  <c r="J30" i="1"/>
  <c r="J32" i="1" s="1"/>
  <c r="J16" i="1"/>
  <c r="J18" i="1" s="1"/>
  <c r="H4" i="1"/>
  <c r="J7" i="1"/>
  <c r="J9" i="1" s="1"/>
  <c r="J31" i="1"/>
  <c r="I7" i="1"/>
  <c r="L9" i="1"/>
  <c r="I32" i="1"/>
  <c r="H13" i="1" l="1"/>
  <c r="K13" i="1" s="1"/>
  <c r="L9" i="4"/>
  <c r="J19" i="5"/>
  <c r="K18" i="1"/>
  <c r="K19" i="5"/>
  <c r="C19" i="5"/>
  <c r="N10" i="5"/>
  <c r="H31" i="5"/>
  <c r="H14" i="5"/>
  <c r="K14" i="5" s="1"/>
  <c r="H8" i="5"/>
  <c r="K5" i="5"/>
  <c r="N5" i="5" s="1"/>
  <c r="C10" i="5"/>
  <c r="H32" i="4"/>
  <c r="C18" i="4" s="1"/>
  <c r="H17" i="4"/>
  <c r="K17" i="4" s="1"/>
  <c r="K8" i="4"/>
  <c r="N8" i="4" s="1"/>
  <c r="H9" i="4"/>
  <c r="H16" i="1"/>
  <c r="K16" i="1" s="1"/>
  <c r="J17" i="1"/>
  <c r="H7" i="1"/>
  <c r="H8" i="1" s="1"/>
  <c r="J8" i="1"/>
  <c r="I17" i="1"/>
  <c r="C18" i="1"/>
  <c r="K4" i="1"/>
  <c r="N4" i="1" s="1"/>
  <c r="M8" i="1"/>
  <c r="N9" i="1"/>
  <c r="I9" i="1"/>
  <c r="C9" i="1" s="1"/>
  <c r="I8" i="1"/>
  <c r="C17" i="1"/>
  <c r="C9" i="4" l="1"/>
  <c r="M20" i="4"/>
  <c r="H9" i="5"/>
  <c r="K8" i="5"/>
  <c r="N8" i="5" s="1"/>
  <c r="H32" i="5"/>
  <c r="C18" i="5" s="1"/>
  <c r="H17" i="5"/>
  <c r="K17" i="5" s="1"/>
  <c r="K7" i="1"/>
  <c r="N7" i="1" s="1"/>
  <c r="C8" i="1"/>
  <c r="M20" i="5" l="1"/>
  <c r="C9" i="5"/>
</calcChain>
</file>

<file path=xl/sharedStrings.xml><?xml version="1.0" encoding="utf-8"?>
<sst xmlns="http://schemas.openxmlformats.org/spreadsheetml/2006/main" count="220" uniqueCount="50">
  <si>
    <t>Class</t>
  </si>
  <si>
    <t>Par Value</t>
  </si>
  <si>
    <t>WAM</t>
  </si>
  <si>
    <t>Credit  Support</t>
  </si>
  <si>
    <t>Coupon</t>
  </si>
  <si>
    <t>YTM</t>
  </si>
  <si>
    <t>Value as CMBS</t>
  </si>
  <si>
    <t>A</t>
  </si>
  <si>
    <t>B</t>
  </si>
  <si>
    <t>X (IO)</t>
  </si>
  <si>
    <t>N/A</t>
  </si>
  <si>
    <t>Pool</t>
  </si>
  <si>
    <t>25%</t>
  </si>
  <si>
    <t>0%</t>
  </si>
  <si>
    <t>10%(WAC)</t>
  </si>
  <si>
    <t>Yr 1</t>
  </si>
  <si>
    <t>Yr 2</t>
  </si>
  <si>
    <t>Contract Cash Flows:</t>
  </si>
  <si>
    <t>CMBS IRR</t>
  </si>
  <si>
    <t>Pool IRR</t>
  </si>
  <si>
    <t>&lt;== Due to Added Value. ==&gt;</t>
  </si>
  <si>
    <t>Realized Cash Flows:</t>
  </si>
  <si>
    <t>Realized IRR</t>
  </si>
  <si>
    <t>Yr 0</t>
  </si>
  <si>
    <t>20-7 (revised)</t>
  </si>
  <si>
    <t>1.5%, 1%</t>
  </si>
  <si>
    <t>Exh.20-5</t>
  </si>
  <si>
    <t>YTM*</t>
  </si>
  <si>
    <t>Yr 0**</t>
  </si>
  <si>
    <t>Yr 2***</t>
  </si>
  <si>
    <t>*** Class B realized cash flow in Yr 2 is $6.00 million less than contractual cash flow, due to credit losses.</t>
  </si>
  <si>
    <t>* YTM (yield to maturity) reflects pricing of bond classes as determined in the bond market at the time of the IPO.</t>
  </si>
  <si>
    <t>** Yr 0 cash flow is negative of initial market value as CMBS, proceeds from IPO (assumed Yr 0).</t>
  </si>
  <si>
    <t>A par</t>
  </si>
  <si>
    <t>20%</t>
  </si>
  <si>
    <t>1.6%, 1.2%</t>
  </si>
  <si>
    <t>PV=</t>
  </si>
  <si>
    <t>Sect.20.2 simple numerical example</t>
  </si>
  <si>
    <t>Sect.20.2 simple numerical example; Suppose 20% credit enhancement (instead of 25%) with same yields…</t>
  </si>
  <si>
    <t>Sect.20.2 simple numerical example; Suppose 20% credit enhancement (instead of 25%) but now with higher yield…</t>
  </si>
  <si>
    <t>Average CMBS Deal Subordination Structure, 1995-2008… Source: Authors' correspondence with Moody's Investors' Service.</t>
  </si>
  <si>
    <t>Vintage</t>
  </si>
  <si>
    <t>Average of Super Aaa</t>
  </si>
  <si>
    <t>Average of Aaa</t>
  </si>
  <si>
    <t>Average of Aa</t>
  </si>
  <si>
    <t>Average of A</t>
  </si>
  <si>
    <t>Average of Baa</t>
  </si>
  <si>
    <t>Average of Ba</t>
  </si>
  <si>
    <t>Average of B</t>
  </si>
  <si>
    <t>Average of 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</si>
</sst>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"/>
    <numFmt numFmtId="165" formatCode="&quot;$&quot;#,##0.00"/>
    <numFmt numFmtId="166" formatCode="0.0%"/>
    <numFmt numFmtId="167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2" fontId="0" fillId="0" borderId="0" xfId="0" applyNumberFormat="1" applyBorder="1"/>
    <xf numFmtId="2" fontId="0" fillId="0" borderId="5" xfId="0" applyNumberFormat="1" applyBorder="1"/>
    <xf numFmtId="9" fontId="0" fillId="0" borderId="0" xfId="0" quotePrefix="1" applyNumberFormat="1" applyBorder="1" applyAlignment="1">
      <alignment horizontal="center"/>
    </xf>
    <xf numFmtId="10" fontId="0" fillId="0" borderId="0" xfId="0" applyNumberFormat="1" applyBorder="1"/>
    <xf numFmtId="165" fontId="0" fillId="0" borderId="0" xfId="0" applyNumberFormat="1" applyBorder="1"/>
    <xf numFmtId="0" fontId="0" fillId="0" borderId="6" xfId="0" applyBorder="1" applyAlignment="1">
      <alignment horizontal="center"/>
    </xf>
    <xf numFmtId="10" fontId="0" fillId="0" borderId="7" xfId="0" applyNumberFormat="1" applyBorder="1"/>
    <xf numFmtId="0" fontId="0" fillId="0" borderId="7" xfId="0" applyBorder="1"/>
    <xf numFmtId="165" fontId="0" fillId="0" borderId="7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right"/>
    </xf>
    <xf numFmtId="2" fontId="0" fillId="0" borderId="10" xfId="0" applyNumberFormat="1" applyBorder="1"/>
    <xf numFmtId="2" fontId="0" fillId="0" borderId="11" xfId="0" applyNumberFormat="1" applyBorder="1"/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3" xfId="0" quotePrefix="1" applyNumberFormat="1" applyBorder="1" applyAlignment="1">
      <alignment horizontal="center"/>
    </xf>
    <xf numFmtId="9" fontId="0" fillId="0" borderId="13" xfId="0" applyNumberFormat="1" applyBorder="1" applyAlignment="1">
      <alignment horizontal="center"/>
    </xf>
    <xf numFmtId="165" fontId="0" fillId="0" borderId="13" xfId="0" applyNumberFormat="1" applyBorder="1" applyAlignment="1">
      <alignment horizontal="right"/>
    </xf>
    <xf numFmtId="2" fontId="0" fillId="0" borderId="13" xfId="0" applyNumberFormat="1" applyBorder="1"/>
    <xf numFmtId="2" fontId="0" fillId="0" borderId="14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0" fillId="0" borderId="17" xfId="0" applyBorder="1"/>
    <xf numFmtId="10" fontId="0" fillId="0" borderId="21" xfId="0" applyNumberFormat="1" applyBorder="1"/>
    <xf numFmtId="10" fontId="0" fillId="0" borderId="22" xfId="0" applyNumberFormat="1" applyBorder="1"/>
    <xf numFmtId="0" fontId="0" fillId="0" borderId="2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3" fillId="0" borderId="10" xfId="0" applyFont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3" fillId="0" borderId="0" xfId="0" quotePrefix="1" applyFont="1" applyBorder="1" applyAlignment="1">
      <alignment horizontal="center"/>
    </xf>
    <xf numFmtId="9" fontId="3" fillId="0" borderId="0" xfId="0" quotePrefix="1" applyNumberFormat="1" applyFont="1" applyBorder="1" applyAlignment="1">
      <alignment horizontal="center"/>
    </xf>
    <xf numFmtId="8" fontId="0" fillId="0" borderId="0" xfId="0" applyNumberFormat="1"/>
    <xf numFmtId="166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1" fillId="0" borderId="0" xfId="1"/>
    <xf numFmtId="0" fontId="5" fillId="2" borderId="24" xfId="1" applyFont="1" applyFill="1" applyBorder="1"/>
    <xf numFmtId="0" fontId="5" fillId="2" borderId="24" xfId="1" applyFont="1" applyFill="1" applyBorder="1" applyAlignment="1">
      <alignment horizontal="right"/>
    </xf>
    <xf numFmtId="0" fontId="1" fillId="0" borderId="0" xfId="1" applyAlignment="1">
      <alignment horizontal="left"/>
    </xf>
    <xf numFmtId="167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20-7: History of CMBS Subordination Levels, 1995-2008 (pre-crisis)</a:t>
            </a:r>
          </a:p>
        </c:rich>
      </c:tx>
      <c:layout/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8.0757884497664634E-2"/>
          <c:y val="0.10109998214958646"/>
          <c:w val="0.70514200900606272"/>
          <c:h val="0.72408338126499927"/>
        </c:manualLayout>
      </c:layout>
      <c:lineChart>
        <c:grouping val="standard"/>
        <c:varyColors val="0"/>
        <c:ser>
          <c:idx val="1"/>
          <c:order val="0"/>
          <c:tx>
            <c:v>Super Sr AAA</c:v>
          </c:tx>
          <c:marker>
            <c:symbol val="none"/>
          </c:marker>
          <c:cat>
            <c:numRef>
              <c:f>'Exh 20-7'!$B$3:$B$16</c:f>
              <c:numCache>
                <c:formatCode>General</c:formatCode>
                <c:ptCount val="1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</c:numCache>
            </c:numRef>
          </c:cat>
          <c:val>
            <c:numRef>
              <c:f>'Exh 20-7'!$C$3:$C$16</c:f>
              <c:numCache>
                <c:formatCode>General</c:formatCode>
                <c:ptCount val="14"/>
                <c:pt idx="10" formatCode="0.0">
                  <c:v>22.490749751813127</c:v>
                </c:pt>
                <c:pt idx="11" formatCode="0.0">
                  <c:v>25.726714416680878</c:v>
                </c:pt>
                <c:pt idx="12" formatCode="0.0">
                  <c:v>26.114538025936053</c:v>
                </c:pt>
                <c:pt idx="13" formatCode="0.0">
                  <c:v>26.449795173961846</c:v>
                </c:pt>
              </c:numCache>
            </c:numRef>
          </c:val>
          <c:smooth val="0"/>
        </c:ser>
        <c:ser>
          <c:idx val="2"/>
          <c:order val="1"/>
          <c:tx>
            <c:v>Aaa</c:v>
          </c:tx>
          <c:marker>
            <c:symbol val="none"/>
          </c:marker>
          <c:cat>
            <c:numRef>
              <c:f>'Exh 20-7'!$B$3:$B$16</c:f>
              <c:numCache>
                <c:formatCode>General</c:formatCode>
                <c:ptCount val="1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</c:numCache>
            </c:numRef>
          </c:cat>
          <c:val>
            <c:numRef>
              <c:f>'Exh 20-7'!$D$3:$D$16</c:f>
              <c:numCache>
                <c:formatCode>0.0</c:formatCode>
                <c:ptCount val="14"/>
                <c:pt idx="0">
                  <c:v>33.333333333333336</c:v>
                </c:pt>
                <c:pt idx="1">
                  <c:v>32.175555555555562</c:v>
                </c:pt>
                <c:pt idx="2">
                  <c:v>30.135000000000002</c:v>
                </c:pt>
                <c:pt idx="3">
                  <c:v>28.521720430107525</c:v>
                </c:pt>
                <c:pt idx="4">
                  <c:v>26.894999999999996</c:v>
                </c:pt>
                <c:pt idx="5">
                  <c:v>23</c:v>
                </c:pt>
                <c:pt idx="6">
                  <c:v>21.171944444444446</c:v>
                </c:pt>
                <c:pt idx="7">
                  <c:v>19.241891891891889</c:v>
                </c:pt>
                <c:pt idx="8">
                  <c:v>16.424042553191487</c:v>
                </c:pt>
                <c:pt idx="9">
                  <c:v>15.426888950892856</c:v>
                </c:pt>
                <c:pt idx="10">
                  <c:v>13</c:v>
                </c:pt>
                <c:pt idx="11">
                  <c:v>12.5</c:v>
                </c:pt>
                <c:pt idx="12">
                  <c:v>12.5</c:v>
                </c:pt>
                <c:pt idx="13">
                  <c:v>14.9</c:v>
                </c:pt>
              </c:numCache>
            </c:numRef>
          </c:val>
          <c:smooth val="0"/>
        </c:ser>
        <c:ser>
          <c:idx val="3"/>
          <c:order val="2"/>
          <c:tx>
            <c:v>Aa</c:v>
          </c:tx>
          <c:marker>
            <c:symbol val="none"/>
          </c:marker>
          <c:cat>
            <c:numRef>
              <c:f>'Exh 20-7'!$B$3:$B$16</c:f>
              <c:numCache>
                <c:formatCode>General</c:formatCode>
                <c:ptCount val="1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</c:numCache>
            </c:numRef>
          </c:cat>
          <c:val>
            <c:numRef>
              <c:f>'Exh 20-7'!$E$3:$E$16</c:f>
              <c:numCache>
                <c:formatCode>0.0</c:formatCode>
                <c:ptCount val="14"/>
                <c:pt idx="0">
                  <c:v>28</c:v>
                </c:pt>
                <c:pt idx="1">
                  <c:v>26.617777777777778</c:v>
                </c:pt>
                <c:pt idx="2">
                  <c:v>24.3215</c:v>
                </c:pt>
                <c:pt idx="3">
                  <c:v>23.437741935483874</c:v>
                </c:pt>
                <c:pt idx="4">
                  <c:v>22.068194444444444</c:v>
                </c:pt>
                <c:pt idx="5">
                  <c:v>18.619193548387095</c:v>
                </c:pt>
                <c:pt idx="6">
                  <c:v>17.018935185185185</c:v>
                </c:pt>
                <c:pt idx="7">
                  <c:v>15.309301801801801</c:v>
                </c:pt>
                <c:pt idx="8">
                  <c:v>12.965585106382981</c:v>
                </c:pt>
                <c:pt idx="9">
                  <c:v>11.286966145833334</c:v>
                </c:pt>
                <c:pt idx="10">
                  <c:v>10.295340375586857</c:v>
                </c:pt>
                <c:pt idx="11">
                  <c:v>10.767550813008135</c:v>
                </c:pt>
                <c:pt idx="12">
                  <c:v>11.591184210526318</c:v>
                </c:pt>
                <c:pt idx="13">
                  <c:v>12.794074074074073</c:v>
                </c:pt>
              </c:numCache>
            </c:numRef>
          </c:val>
          <c:smooth val="0"/>
        </c:ser>
        <c:ser>
          <c:idx val="4"/>
          <c:order val="3"/>
          <c:tx>
            <c:v>A</c:v>
          </c:tx>
          <c:marker>
            <c:symbol val="none"/>
          </c:marker>
          <c:cat>
            <c:numRef>
              <c:f>'Exh 20-7'!$B$3:$B$16</c:f>
              <c:numCache>
                <c:formatCode>General</c:formatCode>
                <c:ptCount val="1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</c:numCache>
            </c:numRef>
          </c:cat>
          <c:val>
            <c:numRef>
              <c:f>'Exh 20-7'!$F$3:$F$16</c:f>
              <c:numCache>
                <c:formatCode>0.0</c:formatCode>
                <c:ptCount val="14"/>
                <c:pt idx="0">
                  <c:v>21.333333333333332</c:v>
                </c:pt>
                <c:pt idx="1">
                  <c:v>20.168888888888887</c:v>
                </c:pt>
                <c:pt idx="2">
                  <c:v>17.941499999999998</c:v>
                </c:pt>
                <c:pt idx="3">
                  <c:v>17.989516129032257</c:v>
                </c:pt>
                <c:pt idx="4">
                  <c:v>16.635972222222222</c:v>
                </c:pt>
                <c:pt idx="5">
                  <c:v>13.764032258064516</c:v>
                </c:pt>
                <c:pt idx="6">
                  <c:v>12.761851851851851</c:v>
                </c:pt>
                <c:pt idx="7">
                  <c:v>11.454459459459459</c:v>
                </c:pt>
                <c:pt idx="8">
                  <c:v>9.2977659574468081</c:v>
                </c:pt>
                <c:pt idx="9">
                  <c:v>8.1343229166666653</c:v>
                </c:pt>
                <c:pt idx="10">
                  <c:v>7.2639671361502334</c:v>
                </c:pt>
                <c:pt idx="11">
                  <c:v>7.0039634146341481</c:v>
                </c:pt>
                <c:pt idx="12">
                  <c:v>7.752521929824562</c:v>
                </c:pt>
                <c:pt idx="13">
                  <c:v>9.93074074074074</c:v>
                </c:pt>
              </c:numCache>
            </c:numRef>
          </c:val>
          <c:smooth val="0"/>
        </c:ser>
        <c:ser>
          <c:idx val="5"/>
          <c:order val="4"/>
          <c:tx>
            <c:v>Baa</c:v>
          </c:tx>
          <c:marker>
            <c:symbol val="none"/>
          </c:marker>
          <c:cat>
            <c:numRef>
              <c:f>'Exh 20-7'!$B$3:$B$16</c:f>
              <c:numCache>
                <c:formatCode>General</c:formatCode>
                <c:ptCount val="1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</c:numCache>
            </c:numRef>
          </c:cat>
          <c:val>
            <c:numRef>
              <c:f>'Exh 20-7'!$G$3:$G$16</c:f>
              <c:numCache>
                <c:formatCode>0.0</c:formatCode>
                <c:ptCount val="14"/>
                <c:pt idx="0">
                  <c:v>15.25</c:v>
                </c:pt>
                <c:pt idx="1">
                  <c:v>14.16888888888889</c:v>
                </c:pt>
                <c:pt idx="2">
                  <c:v>12.575666666666667</c:v>
                </c:pt>
                <c:pt idx="3">
                  <c:v>11.666612903225808</c:v>
                </c:pt>
                <c:pt idx="4">
                  <c:v>11.189050925925926</c:v>
                </c:pt>
                <c:pt idx="5">
                  <c:v>9.675430107526882</c:v>
                </c:pt>
                <c:pt idx="6">
                  <c:v>8.9890277777777783</c:v>
                </c:pt>
                <c:pt idx="7">
                  <c:v>8.1618243243243249</c:v>
                </c:pt>
                <c:pt idx="8">
                  <c:v>6.2764893617021267</c:v>
                </c:pt>
                <c:pt idx="9">
                  <c:v>5.1062109375000011</c:v>
                </c:pt>
                <c:pt idx="10">
                  <c:v>4.3132159624413147</c:v>
                </c:pt>
                <c:pt idx="11">
                  <c:v>3.9071544715447146</c:v>
                </c:pt>
                <c:pt idx="12">
                  <c:v>4.0116666666666658</c:v>
                </c:pt>
                <c:pt idx="13">
                  <c:v>6.8096296296296295</c:v>
                </c:pt>
              </c:numCache>
            </c:numRef>
          </c:val>
          <c:smooth val="0"/>
        </c:ser>
        <c:ser>
          <c:idx val="6"/>
          <c:order val="5"/>
          <c:tx>
            <c:v>Ba</c:v>
          </c:tx>
          <c:marker>
            <c:symbol val="none"/>
          </c:marker>
          <c:cat>
            <c:numRef>
              <c:f>'Exh 20-7'!$B$3:$B$16</c:f>
              <c:numCache>
                <c:formatCode>General</c:formatCode>
                <c:ptCount val="1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</c:numCache>
            </c:numRef>
          </c:cat>
          <c:val>
            <c:numRef>
              <c:f>'Exh 20-7'!$H$3:$H$16</c:f>
              <c:numCache>
                <c:formatCode>0.0</c:formatCode>
                <c:ptCount val="14"/>
                <c:pt idx="0">
                  <c:v>7</c:v>
                </c:pt>
                <c:pt idx="1">
                  <c:v>5.7707407407407407</c:v>
                </c:pt>
                <c:pt idx="2">
                  <c:v>5.2811666666666657</c:v>
                </c:pt>
                <c:pt idx="3">
                  <c:v>5.2389784946236562</c:v>
                </c:pt>
                <c:pt idx="4">
                  <c:v>5.7734259259259257</c:v>
                </c:pt>
                <c:pt idx="5">
                  <c:v>4.8332258064516127</c:v>
                </c:pt>
                <c:pt idx="6">
                  <c:v>4.5386342592592577</c:v>
                </c:pt>
                <c:pt idx="7">
                  <c:v>4.339144144144143</c:v>
                </c:pt>
                <c:pt idx="8">
                  <c:v>3.2659929078014178</c:v>
                </c:pt>
                <c:pt idx="9">
                  <c:v>2.9307812499999994</c:v>
                </c:pt>
                <c:pt idx="10">
                  <c:v>2.4091079812206559</c:v>
                </c:pt>
                <c:pt idx="11">
                  <c:v>2.0584146341463407</c:v>
                </c:pt>
                <c:pt idx="12">
                  <c:v>1.9379385964912283</c:v>
                </c:pt>
                <c:pt idx="13">
                  <c:v>4.2525925925925918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57896"/>
        <c:axId val="407258288"/>
      </c:lineChart>
      <c:catAx>
        <c:axId val="40725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 baseline="0"/>
            </a:pPr>
            <a:endParaRPr lang="en-US"/>
          </a:p>
        </c:txPr>
        <c:crossAx val="407258288"/>
        <c:crosses val="autoZero"/>
        <c:auto val="1"/>
        <c:lblAlgn val="ctr"/>
        <c:lblOffset val="100"/>
        <c:noMultiLvlLbl val="0"/>
      </c:catAx>
      <c:valAx>
        <c:axId val="407258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4072578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1</xdr:row>
      <xdr:rowOff>66674</xdr:rowOff>
    </xdr:from>
    <xdr:to>
      <xdr:col>20</xdr:col>
      <xdr:colOff>95250</xdr:colOff>
      <xdr:row>21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0.01118</cdr:x>
      <cdr:y>0.93199</cdr:y>
    </cdr:from>
    <cdr:to>
      <cdr:x>0.56869</cdr:x>
      <cdr:y>0.99748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5" y="3524252"/>
          <a:ext cx="33242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1">
                  <a:lumMod val="65000"/>
                </a:schemeClr>
              </a:solidFill>
            </a:rPr>
            <a:t>Source: Authors' correspondence with Moody's Investors Service.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20-7(3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 3e Exh 20-7"/>
    </sheetNames>
    <sheetDataSet>
      <sheetData sheetId="0">
        <row r="3">
          <cell r="B3">
            <v>1995</v>
          </cell>
          <cell r="D3">
            <v>33.333333333333336</v>
          </cell>
          <cell r="E3">
            <v>28</v>
          </cell>
          <cell r="F3">
            <v>21.333333333333332</v>
          </cell>
          <cell r="G3">
            <v>15.25</v>
          </cell>
          <cell r="H3">
            <v>7</v>
          </cell>
        </row>
        <row r="4">
          <cell r="B4">
            <v>1996</v>
          </cell>
          <cell r="D4">
            <v>32.175555555555562</v>
          </cell>
          <cell r="E4">
            <v>26.617777777777778</v>
          </cell>
          <cell r="F4">
            <v>20.168888888888887</v>
          </cell>
          <cell r="G4">
            <v>14.16888888888889</v>
          </cell>
          <cell r="H4">
            <v>5.7707407407407407</v>
          </cell>
        </row>
        <row r="5">
          <cell r="B5">
            <v>1997</v>
          </cell>
          <cell r="D5">
            <v>30.135000000000002</v>
          </cell>
          <cell r="E5">
            <v>24.3215</v>
          </cell>
          <cell r="F5">
            <v>17.941499999999998</v>
          </cell>
          <cell r="G5">
            <v>12.575666666666667</v>
          </cell>
          <cell r="H5">
            <v>5.2811666666666657</v>
          </cell>
        </row>
        <row r="6">
          <cell r="B6">
            <v>1998</v>
          </cell>
          <cell r="D6">
            <v>28.521720430107525</v>
          </cell>
          <cell r="E6">
            <v>23.437741935483874</v>
          </cell>
          <cell r="F6">
            <v>17.989516129032257</v>
          </cell>
          <cell r="G6">
            <v>11.666612903225808</v>
          </cell>
          <cell r="H6">
            <v>5.2389784946236562</v>
          </cell>
        </row>
        <row r="7">
          <cell r="B7">
            <v>1999</v>
          </cell>
          <cell r="D7">
            <v>26.894999999999996</v>
          </cell>
          <cell r="E7">
            <v>22.068194444444444</v>
          </cell>
          <cell r="F7">
            <v>16.635972222222222</v>
          </cell>
          <cell r="G7">
            <v>11.189050925925926</v>
          </cell>
          <cell r="H7">
            <v>5.7734259259259257</v>
          </cell>
        </row>
        <row r="8">
          <cell r="B8">
            <v>2000</v>
          </cell>
          <cell r="D8">
            <v>23</v>
          </cell>
          <cell r="E8">
            <v>18.619193548387095</v>
          </cell>
          <cell r="F8">
            <v>13.764032258064516</v>
          </cell>
          <cell r="G8">
            <v>9.675430107526882</v>
          </cell>
          <cell r="H8">
            <v>4.8332258064516127</v>
          </cell>
        </row>
        <row r="9">
          <cell r="B9">
            <v>2001</v>
          </cell>
          <cell r="D9">
            <v>21.171944444444446</v>
          </cell>
          <cell r="E9">
            <v>17.018935185185185</v>
          </cell>
          <cell r="F9">
            <v>12.761851851851851</v>
          </cell>
          <cell r="G9">
            <v>8.9890277777777783</v>
          </cell>
          <cell r="H9">
            <v>4.5386342592592577</v>
          </cell>
        </row>
        <row r="10">
          <cell r="B10">
            <v>2002</v>
          </cell>
          <cell r="D10">
            <v>19.241891891891889</v>
          </cell>
          <cell r="E10">
            <v>15.309301801801801</v>
          </cell>
          <cell r="F10">
            <v>11.454459459459459</v>
          </cell>
          <cell r="G10">
            <v>8.1618243243243249</v>
          </cell>
          <cell r="H10">
            <v>4.339144144144143</v>
          </cell>
        </row>
        <row r="11">
          <cell r="B11">
            <v>2003</v>
          </cell>
          <cell r="D11">
            <v>16.424042553191487</v>
          </cell>
          <cell r="E11">
            <v>12.965585106382981</v>
          </cell>
          <cell r="F11">
            <v>9.2977659574468081</v>
          </cell>
          <cell r="G11">
            <v>6.2764893617021267</v>
          </cell>
          <cell r="H11">
            <v>3.2659929078014178</v>
          </cell>
        </row>
        <row r="12">
          <cell r="B12">
            <v>2004</v>
          </cell>
          <cell r="D12">
            <v>15.426888950892856</v>
          </cell>
          <cell r="E12">
            <v>11.286966145833334</v>
          </cell>
          <cell r="F12">
            <v>8.1343229166666653</v>
          </cell>
          <cell r="G12">
            <v>5.1062109375000011</v>
          </cell>
          <cell r="H12">
            <v>2.9307812499999994</v>
          </cell>
        </row>
        <row r="13">
          <cell r="B13">
            <v>2005</v>
          </cell>
          <cell r="C13">
            <v>22.490749751813127</v>
          </cell>
          <cell r="D13">
            <v>13</v>
          </cell>
          <cell r="E13">
            <v>10.295340375586857</v>
          </cell>
          <cell r="F13">
            <v>7.2639671361502334</v>
          </cell>
          <cell r="G13">
            <v>4.3132159624413147</v>
          </cell>
          <cell r="H13">
            <v>2.4091079812206559</v>
          </cell>
        </row>
        <row r="14">
          <cell r="B14">
            <v>2006</v>
          </cell>
          <cell r="C14">
            <v>25.726714416680878</v>
          </cell>
          <cell r="D14">
            <v>12.5</v>
          </cell>
          <cell r="E14">
            <v>10.767550813008135</v>
          </cell>
          <cell r="F14">
            <v>7.0039634146341481</v>
          </cell>
          <cell r="G14">
            <v>3.9071544715447146</v>
          </cell>
          <cell r="H14">
            <v>2.0584146341463407</v>
          </cell>
        </row>
        <row r="15">
          <cell r="B15">
            <v>2007</v>
          </cell>
          <cell r="C15">
            <v>26.114538025936053</v>
          </cell>
          <cell r="D15">
            <v>12.5</v>
          </cell>
          <cell r="E15">
            <v>11.591184210526318</v>
          </cell>
          <cell r="F15">
            <v>7.752521929824562</v>
          </cell>
          <cell r="G15">
            <v>4.0116666666666658</v>
          </cell>
          <cell r="H15">
            <v>1.9379385964912283</v>
          </cell>
        </row>
        <row r="16">
          <cell r="B16">
            <v>2008</v>
          </cell>
          <cell r="C16">
            <v>26.449795173961846</v>
          </cell>
          <cell r="D16">
            <v>14.9</v>
          </cell>
          <cell r="E16">
            <v>12.794074074074073</v>
          </cell>
          <cell r="F16">
            <v>9.93074074074074</v>
          </cell>
          <cell r="G16">
            <v>6.8096296296296295</v>
          </cell>
          <cell r="H16">
            <v>4.2525925925925918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defaultRowHeight="13.2" x14ac:dyDescent="0.25"/>
  <cols>
    <col min="1" max="1" width="8.33203125" customWidth="1"/>
    <col min="2" max="2" width="11.5546875" customWidth="1"/>
    <col min="6" max="6" width="11.33203125" customWidth="1"/>
    <col min="12" max="12" width="9.88671875" customWidth="1"/>
  </cols>
  <sheetData>
    <row r="1" spans="1:14" ht="13.8" thickBot="1" x14ac:dyDescent="0.3">
      <c r="A1" s="71" t="s">
        <v>37</v>
      </c>
    </row>
    <row r="2" spans="1:14" ht="12.75" customHeight="1" x14ac:dyDescent="0.25">
      <c r="B2" s="5"/>
      <c r="C2" s="6"/>
      <c r="D2" s="6"/>
      <c r="E2" s="81" t="s">
        <v>3</v>
      </c>
      <c r="F2" s="6"/>
      <c r="G2" s="6"/>
      <c r="H2" s="81" t="s">
        <v>6</v>
      </c>
      <c r="I2" s="7" t="s">
        <v>17</v>
      </c>
      <c r="J2" s="8"/>
      <c r="K2" s="80" t="s">
        <v>21</v>
      </c>
      <c r="L2" s="80"/>
      <c r="M2" s="80"/>
      <c r="N2" s="79" t="s">
        <v>22</v>
      </c>
    </row>
    <row r="3" spans="1:14" x14ac:dyDescent="0.25">
      <c r="B3" s="27" t="s">
        <v>0</v>
      </c>
      <c r="C3" s="28" t="s">
        <v>1</v>
      </c>
      <c r="D3" s="28" t="s">
        <v>2</v>
      </c>
      <c r="E3" s="82"/>
      <c r="F3" s="28" t="s">
        <v>4</v>
      </c>
      <c r="G3" s="28" t="s">
        <v>5</v>
      </c>
      <c r="H3" s="82"/>
      <c r="I3" s="28" t="s">
        <v>15</v>
      </c>
      <c r="J3" s="29" t="s">
        <v>16</v>
      </c>
      <c r="K3" s="1" t="s">
        <v>23</v>
      </c>
      <c r="L3" s="1" t="s">
        <v>15</v>
      </c>
      <c r="M3" s="1" t="s">
        <v>16</v>
      </c>
      <c r="N3" s="79"/>
    </row>
    <row r="4" spans="1:14" x14ac:dyDescent="0.25">
      <c r="B4" s="9" t="s">
        <v>7</v>
      </c>
      <c r="C4" s="11">
        <v>75</v>
      </c>
      <c r="D4" s="12">
        <v>1.33</v>
      </c>
      <c r="E4" s="13" t="s">
        <v>12</v>
      </c>
      <c r="F4" s="14">
        <v>0.08</v>
      </c>
      <c r="G4" s="14">
        <v>0.08</v>
      </c>
      <c r="H4" s="15">
        <f>NPV(G4,I4:J4)</f>
        <v>75</v>
      </c>
      <c r="I4" s="16">
        <f>50+75*0.08</f>
        <v>56</v>
      </c>
      <c r="J4" s="17">
        <f>25+0.08*25</f>
        <v>27</v>
      </c>
      <c r="K4" s="3">
        <f>-H4</f>
        <v>-75</v>
      </c>
      <c r="L4" s="2">
        <f>50+75*0.08</f>
        <v>56</v>
      </c>
      <c r="M4" s="2">
        <f>25+0.08*25</f>
        <v>27</v>
      </c>
      <c r="N4" s="4">
        <f>IRR(K4:M4)</f>
        <v>8.0000000000000071E-2</v>
      </c>
    </row>
    <row r="5" spans="1:14" x14ac:dyDescent="0.25">
      <c r="B5" s="9" t="s">
        <v>9</v>
      </c>
      <c r="C5" s="11">
        <v>100</v>
      </c>
      <c r="D5" s="12">
        <v>1.25</v>
      </c>
      <c r="E5" s="10" t="s">
        <v>10</v>
      </c>
      <c r="F5" s="18" t="s">
        <v>25</v>
      </c>
      <c r="G5" s="14">
        <v>0.08</v>
      </c>
      <c r="H5" s="15">
        <f>NPV(G5,I5:J5)</f>
        <v>1.8175582990397803</v>
      </c>
      <c r="I5" s="16">
        <f>100*0.015</f>
        <v>1.5</v>
      </c>
      <c r="J5" s="17">
        <f>50*0.01</f>
        <v>0.5</v>
      </c>
      <c r="K5" s="3">
        <f>-H5</f>
        <v>-1.8175582990397803</v>
      </c>
      <c r="L5" s="2">
        <f>100*0.015</f>
        <v>1.5</v>
      </c>
      <c r="M5" s="2">
        <f>50*0.01</f>
        <v>0.5</v>
      </c>
      <c r="N5" s="4">
        <f>IRR(K5:M5)</f>
        <v>8.0000000000000071E-2</v>
      </c>
    </row>
    <row r="6" spans="1:14" x14ac:dyDescent="0.25">
      <c r="B6" s="27" t="s">
        <v>8</v>
      </c>
      <c r="C6" s="30">
        <v>25</v>
      </c>
      <c r="D6" s="31">
        <v>2</v>
      </c>
      <c r="E6" s="32" t="s">
        <v>13</v>
      </c>
      <c r="F6" s="33">
        <v>0.1</v>
      </c>
      <c r="G6" s="33">
        <v>0.12</v>
      </c>
      <c r="H6" s="34">
        <f>NPV(G6,I6:J6)</f>
        <v>24.154974489795915</v>
      </c>
      <c r="I6" s="35">
        <f>25*0.1</f>
        <v>2.5</v>
      </c>
      <c r="J6" s="36">
        <f>25+25*0.1</f>
        <v>27.5</v>
      </c>
      <c r="K6" s="3">
        <f>-H6</f>
        <v>-24.154974489795915</v>
      </c>
      <c r="L6" s="2">
        <f>25*0.1</f>
        <v>2.5</v>
      </c>
      <c r="M6" s="2">
        <f>19+25*0.1</f>
        <v>21.5</v>
      </c>
      <c r="N6" s="4">
        <f>IRR(K6:M6)</f>
        <v>-3.3890438226780173E-3</v>
      </c>
    </row>
    <row r="7" spans="1:14" x14ac:dyDescent="0.25">
      <c r="B7" s="37" t="s">
        <v>11</v>
      </c>
      <c r="C7" s="38">
        <v>100</v>
      </c>
      <c r="D7" s="39">
        <v>1.5</v>
      </c>
      <c r="E7" s="40" t="s">
        <v>10</v>
      </c>
      <c r="F7" s="41" t="s">
        <v>14</v>
      </c>
      <c r="G7" s="42">
        <v>0.1</v>
      </c>
      <c r="H7" s="43">
        <f>SUM(H4:H6)</f>
        <v>100.97253278883569</v>
      </c>
      <c r="I7" s="44">
        <f>SUM(I4:I6)</f>
        <v>60</v>
      </c>
      <c r="J7" s="45">
        <f>SUM(J4:J6)</f>
        <v>55</v>
      </c>
      <c r="K7" s="3">
        <f>-H7</f>
        <v>-100.97253278883569</v>
      </c>
      <c r="L7" s="2">
        <f>SUM(L4:L6)</f>
        <v>60</v>
      </c>
      <c r="M7" s="2">
        <f>SUM(M4:M6)</f>
        <v>49</v>
      </c>
      <c r="N7" s="4">
        <f>IRR(K7:M7)</f>
        <v>5.4444735027770585E-2</v>
      </c>
    </row>
    <row r="8" spans="1:14" x14ac:dyDescent="0.25">
      <c r="B8" s="9" t="s">
        <v>18</v>
      </c>
      <c r="C8" s="19">
        <f>IRR(H8:J8)</f>
        <v>9.2709170410147479E-2</v>
      </c>
      <c r="D8" s="88" t="s">
        <v>20</v>
      </c>
      <c r="E8" s="88"/>
      <c r="F8" s="88"/>
      <c r="G8" s="88"/>
      <c r="H8" s="20">
        <f>-H7</f>
        <v>-100.97253278883569</v>
      </c>
      <c r="I8" s="16">
        <f>I7</f>
        <v>60</v>
      </c>
      <c r="J8" s="17">
        <f>J7</f>
        <v>55</v>
      </c>
      <c r="L8" s="2">
        <f>L7</f>
        <v>60</v>
      </c>
      <c r="M8" s="2">
        <f>M7</f>
        <v>49</v>
      </c>
    </row>
    <row r="9" spans="1:14" ht="13.8" thickBot="1" x14ac:dyDescent="0.3">
      <c r="B9" s="21" t="s">
        <v>19</v>
      </c>
      <c r="C9" s="22">
        <f>IRR(H9:J9)</f>
        <v>0.10000000000000009</v>
      </c>
      <c r="D9" s="23"/>
      <c r="E9" s="23"/>
      <c r="F9" s="23"/>
      <c r="G9" s="23"/>
      <c r="H9" s="24">
        <f>-C7</f>
        <v>-100</v>
      </c>
      <c r="I9" s="25">
        <f>I7</f>
        <v>60</v>
      </c>
      <c r="J9" s="26">
        <f>J7</f>
        <v>55</v>
      </c>
      <c r="K9" s="3">
        <f>-C7</f>
        <v>-100</v>
      </c>
      <c r="L9" s="2">
        <f>L7</f>
        <v>60</v>
      </c>
      <c r="M9" s="2">
        <f>M7</f>
        <v>49</v>
      </c>
      <c r="N9" s="4">
        <f>IRR(K9:M9)</f>
        <v>6.1577310586390155E-2</v>
      </c>
    </row>
    <row r="10" spans="1:14" ht="13.8" thickBot="1" x14ac:dyDescent="0.3"/>
    <row r="11" spans="1:14" ht="12.75" customHeight="1" x14ac:dyDescent="0.25">
      <c r="B11" s="60" t="s">
        <v>26</v>
      </c>
      <c r="C11" s="52"/>
      <c r="D11" s="52"/>
      <c r="E11" s="81" t="s">
        <v>3</v>
      </c>
      <c r="F11" s="52"/>
      <c r="G11" s="52"/>
      <c r="H11" s="84" t="s">
        <v>21</v>
      </c>
      <c r="I11" s="85"/>
      <c r="J11" s="85"/>
      <c r="K11" s="86" t="s">
        <v>22</v>
      </c>
    </row>
    <row r="12" spans="1:14" x14ac:dyDescent="0.25">
      <c r="B12" s="27" t="s">
        <v>0</v>
      </c>
      <c r="C12" s="28" t="s">
        <v>1</v>
      </c>
      <c r="D12" s="28" t="s">
        <v>2</v>
      </c>
      <c r="E12" s="82"/>
      <c r="F12" s="28" t="s">
        <v>4</v>
      </c>
      <c r="G12" s="64" t="s">
        <v>27</v>
      </c>
      <c r="H12" s="61" t="s">
        <v>28</v>
      </c>
      <c r="I12" s="28" t="s">
        <v>15</v>
      </c>
      <c r="J12" s="64" t="s">
        <v>29</v>
      </c>
      <c r="K12" s="87"/>
    </row>
    <row r="13" spans="1:14" x14ac:dyDescent="0.25">
      <c r="B13" s="9" t="s">
        <v>7</v>
      </c>
      <c r="C13" s="11">
        <v>75</v>
      </c>
      <c r="D13" s="12">
        <v>1.33</v>
      </c>
      <c r="E13" s="13" t="s">
        <v>12</v>
      </c>
      <c r="F13" s="14">
        <v>0.08</v>
      </c>
      <c r="G13" s="14">
        <v>0.08</v>
      </c>
      <c r="H13" s="46">
        <f>-H27</f>
        <v>-75</v>
      </c>
      <c r="I13" s="16">
        <f>50+75*0.08</f>
        <v>56</v>
      </c>
      <c r="J13" s="16">
        <f>25+0.08*25</f>
        <v>27</v>
      </c>
      <c r="K13" s="49">
        <f>IRR(H13:J13)</f>
        <v>8.0000000000000071E-2</v>
      </c>
    </row>
    <row r="14" spans="1:14" x14ac:dyDescent="0.25">
      <c r="B14" s="9" t="s">
        <v>9</v>
      </c>
      <c r="C14" s="11">
        <v>100</v>
      </c>
      <c r="D14" s="12">
        <v>1.25</v>
      </c>
      <c r="E14" s="53" t="s">
        <v>10</v>
      </c>
      <c r="F14" s="18" t="s">
        <v>25</v>
      </c>
      <c r="G14" s="14">
        <v>0.08</v>
      </c>
      <c r="H14" s="46">
        <f>-H28</f>
        <v>-1.8175582990397803</v>
      </c>
      <c r="I14" s="16">
        <f>100*0.015</f>
        <v>1.5</v>
      </c>
      <c r="J14" s="16">
        <f>50*0.01</f>
        <v>0.5</v>
      </c>
      <c r="K14" s="49">
        <f>IRR(H14:J14)</f>
        <v>8.0000000000000071E-2</v>
      </c>
    </row>
    <row r="15" spans="1:14" x14ac:dyDescent="0.25">
      <c r="B15" s="9" t="s">
        <v>8</v>
      </c>
      <c r="C15" s="11">
        <v>25</v>
      </c>
      <c r="D15" s="12">
        <v>2</v>
      </c>
      <c r="E15" s="13" t="s">
        <v>13</v>
      </c>
      <c r="F15" s="14">
        <v>0.1</v>
      </c>
      <c r="G15" s="14">
        <v>0.12</v>
      </c>
      <c r="H15" s="46">
        <f>-H29</f>
        <v>-24.154974489795915</v>
      </c>
      <c r="I15" s="16">
        <f>25*0.1</f>
        <v>2.5</v>
      </c>
      <c r="J15" s="16">
        <f>19+25*0.1</f>
        <v>21.5</v>
      </c>
      <c r="K15" s="49">
        <f>IRR(H15:J15)</f>
        <v>-3.3890438226780173E-3</v>
      </c>
    </row>
    <row r="16" spans="1:14" x14ac:dyDescent="0.25">
      <c r="B16" s="37" t="s">
        <v>11</v>
      </c>
      <c r="C16" s="38">
        <v>100</v>
      </c>
      <c r="D16" s="39">
        <v>1.5</v>
      </c>
      <c r="E16" s="40" t="s">
        <v>10</v>
      </c>
      <c r="F16" s="41" t="s">
        <v>14</v>
      </c>
      <c r="G16" s="42">
        <v>0.1</v>
      </c>
      <c r="H16" s="47">
        <f>-H30</f>
        <v>-100.97253278883569</v>
      </c>
      <c r="I16" s="44">
        <f>SUM(I13:I15)</f>
        <v>60</v>
      </c>
      <c r="J16" s="44">
        <f>SUM(J13:J15)</f>
        <v>49</v>
      </c>
      <c r="K16" s="50">
        <f>IRR(H16:J16)</f>
        <v>5.4444735027770585E-2</v>
      </c>
    </row>
    <row r="17" spans="2:11" x14ac:dyDescent="0.25">
      <c r="B17" s="9" t="s">
        <v>18</v>
      </c>
      <c r="C17" s="19">
        <f>IRR(H31:J31)</f>
        <v>9.2709170410147479E-2</v>
      </c>
      <c r="D17" s="88" t="s">
        <v>20</v>
      </c>
      <c r="E17" s="88"/>
      <c r="F17" s="88"/>
      <c r="G17" s="88"/>
      <c r="H17" s="48"/>
      <c r="I17" s="16">
        <f>I16</f>
        <v>60</v>
      </c>
      <c r="J17" s="16">
        <f>J16</f>
        <v>49</v>
      </c>
      <c r="K17" s="51"/>
    </row>
    <row r="18" spans="2:11" ht="13.8" thickBot="1" x14ac:dyDescent="0.3">
      <c r="B18" s="9" t="s">
        <v>19</v>
      </c>
      <c r="C18" s="19">
        <f>IRR(H32:J32)</f>
        <v>0.10000000000000009</v>
      </c>
      <c r="D18" s="62"/>
      <c r="E18" s="62"/>
      <c r="F18" s="62"/>
      <c r="G18" s="62"/>
      <c r="H18" s="46">
        <f>-C16</f>
        <v>-100</v>
      </c>
      <c r="I18" s="16">
        <f>I16</f>
        <v>60</v>
      </c>
      <c r="J18" s="16">
        <f>J16</f>
        <v>49</v>
      </c>
      <c r="K18" s="49">
        <f>IRR(H18:J18)</f>
        <v>6.1577310586390155E-2</v>
      </c>
    </row>
    <row r="19" spans="2:11" x14ac:dyDescent="0.25">
      <c r="B19" s="76" t="s">
        <v>31</v>
      </c>
      <c r="C19" s="77"/>
      <c r="D19" s="77"/>
      <c r="E19" s="77"/>
      <c r="F19" s="77"/>
      <c r="G19" s="77"/>
      <c r="H19" s="77"/>
      <c r="I19" s="77"/>
      <c r="J19" s="77"/>
      <c r="K19" s="78"/>
    </row>
    <row r="20" spans="2:11" x14ac:dyDescent="0.25">
      <c r="B20" s="89" t="s">
        <v>32</v>
      </c>
      <c r="C20" s="90"/>
      <c r="D20" s="90"/>
      <c r="E20" s="90"/>
      <c r="F20" s="90"/>
      <c r="G20" s="90"/>
      <c r="H20" s="90"/>
      <c r="I20" s="90"/>
      <c r="J20" s="90"/>
      <c r="K20" s="91"/>
    </row>
    <row r="21" spans="2:11" ht="13.8" thickBot="1" x14ac:dyDescent="0.3">
      <c r="B21" s="65" t="s">
        <v>30</v>
      </c>
      <c r="C21" s="66"/>
      <c r="D21" s="66"/>
      <c r="E21" s="66"/>
      <c r="F21" s="66"/>
      <c r="G21" s="66"/>
      <c r="H21" s="66"/>
      <c r="I21" s="66"/>
      <c r="J21" s="66"/>
      <c r="K21" s="67"/>
    </row>
    <row r="22" spans="2:11" ht="12.75" customHeight="1" x14ac:dyDescent="0.25"/>
    <row r="25" spans="2:11" x14ac:dyDescent="0.25">
      <c r="H25" s="83" t="s">
        <v>6</v>
      </c>
      <c r="I25" s="62" t="s">
        <v>17</v>
      </c>
      <c r="J25" s="63"/>
    </row>
    <row r="26" spans="2:11" x14ac:dyDescent="0.25">
      <c r="H26" s="82"/>
      <c r="I26" s="28" t="s">
        <v>15</v>
      </c>
      <c r="J26" s="29" t="s">
        <v>16</v>
      </c>
    </row>
    <row r="27" spans="2:11" x14ac:dyDescent="0.25">
      <c r="H27" s="15">
        <f>NPV(G13,I27:J27)</f>
        <v>75</v>
      </c>
      <c r="I27" s="16">
        <f>50+75*0.08</f>
        <v>56</v>
      </c>
      <c r="J27" s="17">
        <f>25+0.08*25</f>
        <v>27</v>
      </c>
    </row>
    <row r="28" spans="2:11" x14ac:dyDescent="0.25">
      <c r="H28" s="15">
        <f>NPV(G14,I28:J28)</f>
        <v>1.8175582990397803</v>
      </c>
      <c r="I28" s="16">
        <f>100*0.015</f>
        <v>1.5</v>
      </c>
      <c r="J28" s="17">
        <f>50*0.01</f>
        <v>0.5</v>
      </c>
    </row>
    <row r="29" spans="2:11" x14ac:dyDescent="0.25">
      <c r="H29" s="34">
        <f>NPV(G15,I29:J29)</f>
        <v>24.154974489795915</v>
      </c>
      <c r="I29" s="35">
        <f>25*0.1</f>
        <v>2.5</v>
      </c>
      <c r="J29" s="36">
        <f>25+25*0.1</f>
        <v>27.5</v>
      </c>
    </row>
    <row r="30" spans="2:11" x14ac:dyDescent="0.25">
      <c r="H30" s="43">
        <f>SUM(H27:H29)</f>
        <v>100.97253278883569</v>
      </c>
      <c r="I30" s="44">
        <f>SUM(I27:I29)</f>
        <v>60</v>
      </c>
      <c r="J30" s="45">
        <f>SUM(J27:J29)</f>
        <v>55</v>
      </c>
    </row>
    <row r="31" spans="2:11" x14ac:dyDescent="0.25">
      <c r="H31" s="20">
        <f>-H30</f>
        <v>-100.97253278883569</v>
      </c>
      <c r="I31" s="16">
        <f>I30</f>
        <v>60</v>
      </c>
      <c r="J31" s="17">
        <f>J30</f>
        <v>55</v>
      </c>
    </row>
    <row r="32" spans="2:11" ht="13.8" thickBot="1" x14ac:dyDescent="0.3">
      <c r="H32" s="24">
        <f>-C16</f>
        <v>-100</v>
      </c>
      <c r="I32" s="25">
        <f>I30</f>
        <v>60</v>
      </c>
      <c r="J32" s="26">
        <f>J30</f>
        <v>55</v>
      </c>
    </row>
    <row r="34" spans="8:10" x14ac:dyDescent="0.25">
      <c r="H34" s="54"/>
      <c r="I34" s="55" t="s">
        <v>17</v>
      </c>
      <c r="J34" s="55"/>
    </row>
    <row r="35" spans="8:10" x14ac:dyDescent="0.25">
      <c r="H35" s="54" t="s">
        <v>0</v>
      </c>
      <c r="I35" s="56" t="s">
        <v>15</v>
      </c>
      <c r="J35" s="56" t="s">
        <v>16</v>
      </c>
    </row>
    <row r="36" spans="8:10" x14ac:dyDescent="0.25">
      <c r="H36" s="54" t="s">
        <v>7</v>
      </c>
      <c r="I36" s="54">
        <v>56</v>
      </c>
      <c r="J36" s="54">
        <v>27</v>
      </c>
    </row>
    <row r="37" spans="8:10" x14ac:dyDescent="0.25">
      <c r="H37" s="54" t="s">
        <v>9</v>
      </c>
      <c r="I37" s="54">
        <v>1.5</v>
      </c>
      <c r="J37" s="54">
        <v>0.5</v>
      </c>
    </row>
    <row r="38" spans="8:10" x14ac:dyDescent="0.25">
      <c r="H38" s="54" t="s">
        <v>8</v>
      </c>
      <c r="I38" s="54">
        <v>2.5</v>
      </c>
      <c r="J38" s="54">
        <v>27.5</v>
      </c>
    </row>
  </sheetData>
  <mergeCells count="12">
    <mergeCell ref="B19:K19"/>
    <mergeCell ref="N2:N3"/>
    <mergeCell ref="K2:M2"/>
    <mergeCell ref="E11:E12"/>
    <mergeCell ref="H25:H26"/>
    <mergeCell ref="H11:J11"/>
    <mergeCell ref="K11:K12"/>
    <mergeCell ref="E2:E3"/>
    <mergeCell ref="H2:H3"/>
    <mergeCell ref="D8:G8"/>
    <mergeCell ref="D17:G17"/>
    <mergeCell ref="B20:K20"/>
  </mergeCells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/>
  </sheetViews>
  <sheetFormatPr defaultRowHeight="13.2" x14ac:dyDescent="0.25"/>
  <cols>
    <col min="1" max="1" width="8.33203125" customWidth="1"/>
    <col min="2" max="2" width="11.5546875" customWidth="1"/>
    <col min="6" max="6" width="11.33203125" customWidth="1"/>
    <col min="12" max="12" width="9.88671875" customWidth="1"/>
  </cols>
  <sheetData>
    <row r="1" spans="1:14" x14ac:dyDescent="0.25">
      <c r="A1" s="71" t="s">
        <v>38</v>
      </c>
    </row>
    <row r="2" spans="1:14" ht="13.8" thickBot="1" x14ac:dyDescent="0.3">
      <c r="A2" s="71" t="s">
        <v>33</v>
      </c>
      <c r="B2">
        <v>80</v>
      </c>
    </row>
    <row r="3" spans="1:14" ht="12.75" customHeight="1" x14ac:dyDescent="0.25">
      <c r="B3" s="5" t="s">
        <v>24</v>
      </c>
      <c r="C3" s="58"/>
      <c r="D3" s="58"/>
      <c r="E3" s="81" t="s">
        <v>3</v>
      </c>
      <c r="F3" s="58"/>
      <c r="G3" s="58"/>
      <c r="H3" s="81" t="s">
        <v>6</v>
      </c>
      <c r="I3" s="7" t="s">
        <v>17</v>
      </c>
      <c r="J3" s="8"/>
      <c r="K3" s="80" t="s">
        <v>21</v>
      </c>
      <c r="L3" s="80"/>
      <c r="M3" s="80"/>
      <c r="N3" s="79" t="s">
        <v>22</v>
      </c>
    </row>
    <row r="4" spans="1:14" x14ac:dyDescent="0.25">
      <c r="B4" s="27" t="s">
        <v>0</v>
      </c>
      <c r="C4" s="28" t="s">
        <v>1</v>
      </c>
      <c r="D4" s="28" t="s">
        <v>2</v>
      </c>
      <c r="E4" s="82"/>
      <c r="F4" s="28" t="s">
        <v>4</v>
      </c>
      <c r="G4" s="28" t="s">
        <v>5</v>
      </c>
      <c r="H4" s="82"/>
      <c r="I4" s="28" t="s">
        <v>15</v>
      </c>
      <c r="J4" s="29" t="s">
        <v>16</v>
      </c>
      <c r="K4" s="57" t="s">
        <v>23</v>
      </c>
      <c r="L4" s="57" t="s">
        <v>15</v>
      </c>
      <c r="M4" s="57" t="s">
        <v>16</v>
      </c>
      <c r="N4" s="79"/>
    </row>
    <row r="5" spans="1:14" x14ac:dyDescent="0.25">
      <c r="B5" s="9" t="s">
        <v>7</v>
      </c>
      <c r="C5" s="11">
        <f>B2</f>
        <v>80</v>
      </c>
      <c r="D5" s="12">
        <v>1.33</v>
      </c>
      <c r="E5" s="72" t="s">
        <v>34</v>
      </c>
      <c r="F5" s="14">
        <v>0.08</v>
      </c>
      <c r="G5" s="14">
        <v>0.08</v>
      </c>
      <c r="H5" s="15">
        <f>NPV(G5,I5:J5)</f>
        <v>79.999999999999986</v>
      </c>
      <c r="I5" s="16">
        <f>50+B2*0.08</f>
        <v>56.4</v>
      </c>
      <c r="J5" s="17">
        <f>(B2-50)+0.08*(B2-50)</f>
        <v>32.4</v>
      </c>
      <c r="K5" s="3">
        <f>-H5</f>
        <v>-79.999999999999986</v>
      </c>
      <c r="L5" s="2">
        <f>50+75*0.08</f>
        <v>56</v>
      </c>
      <c r="M5" s="2">
        <f>25+0.08*25</f>
        <v>27</v>
      </c>
      <c r="N5" s="4">
        <f>IRR(K5:M5)</f>
        <v>2.8232998312506696E-2</v>
      </c>
    </row>
    <row r="6" spans="1:14" x14ac:dyDescent="0.25">
      <c r="B6" s="9" t="s">
        <v>9</v>
      </c>
      <c r="C6" s="11">
        <v>100</v>
      </c>
      <c r="D6" s="12">
        <v>1.25</v>
      </c>
      <c r="E6" s="59" t="s">
        <v>10</v>
      </c>
      <c r="F6" s="73" t="s">
        <v>35</v>
      </c>
      <c r="G6" s="14">
        <v>0.08</v>
      </c>
      <c r="H6" s="15">
        <f>NPV(G6,I6:J6)</f>
        <v>1.9958847736625511</v>
      </c>
      <c r="I6" s="16">
        <f>100*0.016</f>
        <v>1.6</v>
      </c>
      <c r="J6" s="17">
        <f>50*0.012</f>
        <v>0.6</v>
      </c>
      <c r="K6" s="3">
        <f>-H6</f>
        <v>-1.9958847736625511</v>
      </c>
      <c r="L6" s="2">
        <f>100*0.015</f>
        <v>1.5</v>
      </c>
      <c r="M6" s="2">
        <f>50*0.01</f>
        <v>0.5</v>
      </c>
      <c r="N6" s="4">
        <f>IRR(K6:M6)</f>
        <v>1.6493486865118978E-3</v>
      </c>
    </row>
    <row r="7" spans="1:14" x14ac:dyDescent="0.25">
      <c r="B7" s="27" t="s">
        <v>8</v>
      </c>
      <c r="C7" s="30">
        <f>100-B2</f>
        <v>20</v>
      </c>
      <c r="D7" s="31">
        <v>2</v>
      </c>
      <c r="E7" s="32" t="s">
        <v>13</v>
      </c>
      <c r="F7" s="33">
        <v>0.1</v>
      </c>
      <c r="G7" s="33">
        <v>0.12</v>
      </c>
      <c r="H7" s="34">
        <f>NPV(G7,I7:J7)</f>
        <v>19.323979591836732</v>
      </c>
      <c r="I7" s="35">
        <f>(100-B2)*0.1</f>
        <v>2</v>
      </c>
      <c r="J7" s="36">
        <f>(100-B2)+(100-B2)*0.1</f>
        <v>22</v>
      </c>
      <c r="K7" s="3">
        <f>-H7</f>
        <v>-19.323979591836732</v>
      </c>
      <c r="L7" s="2">
        <f>25*0.1</f>
        <v>2.5</v>
      </c>
      <c r="M7" s="2">
        <f>19+25*0.1</f>
        <v>21.5</v>
      </c>
      <c r="N7" s="4">
        <f>IRR(K7:M7)</f>
        <v>0.1214700793979373</v>
      </c>
    </row>
    <row r="8" spans="1:14" x14ac:dyDescent="0.25">
      <c r="B8" s="37" t="s">
        <v>11</v>
      </c>
      <c r="C8" s="38">
        <f>SUM(C5,C7)</f>
        <v>100</v>
      </c>
      <c r="D8" s="39">
        <v>1.5</v>
      </c>
      <c r="E8" s="40" t="s">
        <v>10</v>
      </c>
      <c r="F8" s="41" t="s">
        <v>14</v>
      </c>
      <c r="G8" s="42">
        <v>0.1</v>
      </c>
      <c r="H8" s="43">
        <f>SUM(H5:H7)</f>
        <v>101.31986436549927</v>
      </c>
      <c r="I8" s="44">
        <f>SUM(I5:I7)</f>
        <v>60</v>
      </c>
      <c r="J8" s="45">
        <f>SUM(J5:J7)</f>
        <v>55</v>
      </c>
      <c r="K8" s="3">
        <f>-H8</f>
        <v>-101.31986436549927</v>
      </c>
      <c r="L8" s="2">
        <f>SUM(L5:L7)</f>
        <v>60</v>
      </c>
      <c r="M8" s="2">
        <f>SUM(M5:M7)</f>
        <v>49</v>
      </c>
      <c r="N8" s="4">
        <f>IRR(K8:M8)</f>
        <v>5.1927536737443658E-2</v>
      </c>
    </row>
    <row r="9" spans="1:14" x14ac:dyDescent="0.25">
      <c r="B9" s="9" t="s">
        <v>18</v>
      </c>
      <c r="C9" s="19">
        <f>IRR(H9:J9)</f>
        <v>9.0135925173742582E-2</v>
      </c>
      <c r="D9" s="88" t="s">
        <v>20</v>
      </c>
      <c r="E9" s="88"/>
      <c r="F9" s="88"/>
      <c r="G9" s="88"/>
      <c r="H9" s="20">
        <f>-H8</f>
        <v>-101.31986436549927</v>
      </c>
      <c r="I9" s="16">
        <f>I8</f>
        <v>60</v>
      </c>
      <c r="J9" s="17">
        <f>J8</f>
        <v>55</v>
      </c>
      <c r="L9" s="2">
        <f>L8</f>
        <v>60</v>
      </c>
      <c r="M9" s="2">
        <f>M8</f>
        <v>49</v>
      </c>
    </row>
    <row r="10" spans="1:14" ht="13.8" thickBot="1" x14ac:dyDescent="0.3">
      <c r="B10" s="21" t="s">
        <v>19</v>
      </c>
      <c r="C10" s="22">
        <f>IRR(H10:J10)</f>
        <v>0.10000000000000009</v>
      </c>
      <c r="D10" s="23"/>
      <c r="E10" s="23"/>
      <c r="F10" s="23"/>
      <c r="G10" s="23"/>
      <c r="H10" s="24">
        <f>-C8</f>
        <v>-100</v>
      </c>
      <c r="I10" s="25">
        <f>I8</f>
        <v>60</v>
      </c>
      <c r="J10" s="26">
        <f>J8</f>
        <v>55</v>
      </c>
      <c r="K10" s="3">
        <f>-C8</f>
        <v>-100</v>
      </c>
      <c r="L10" s="2">
        <f>L8</f>
        <v>60</v>
      </c>
      <c r="M10" s="2">
        <f>M8</f>
        <v>49</v>
      </c>
      <c r="N10" s="4">
        <f>IRR(K10:M10)</f>
        <v>6.1577310586390155E-2</v>
      </c>
    </row>
    <row r="11" spans="1:14" ht="13.8" thickBot="1" x14ac:dyDescent="0.3"/>
    <row r="12" spans="1:14" ht="12.75" customHeight="1" x14ac:dyDescent="0.25">
      <c r="B12" s="60" t="s">
        <v>26</v>
      </c>
      <c r="C12" s="58"/>
      <c r="D12" s="58"/>
      <c r="E12" s="81" t="s">
        <v>3</v>
      </c>
      <c r="F12" s="58"/>
      <c r="G12" s="58"/>
      <c r="H12" s="84" t="s">
        <v>21</v>
      </c>
      <c r="I12" s="85"/>
      <c r="J12" s="85"/>
      <c r="K12" s="86" t="s">
        <v>22</v>
      </c>
      <c r="M12" s="71">
        <f>0.02*80</f>
        <v>1.6</v>
      </c>
      <c r="N12">
        <f>30*0.02</f>
        <v>0.6</v>
      </c>
    </row>
    <row r="13" spans="1:14" x14ac:dyDescent="0.25">
      <c r="B13" s="27" t="s">
        <v>0</v>
      </c>
      <c r="C13" s="28" t="s">
        <v>1</v>
      </c>
      <c r="D13" s="28" t="s">
        <v>2</v>
      </c>
      <c r="E13" s="82"/>
      <c r="F13" s="28" t="s">
        <v>4</v>
      </c>
      <c r="G13" s="64" t="s">
        <v>27</v>
      </c>
      <c r="H13" s="61" t="s">
        <v>28</v>
      </c>
      <c r="I13" s="28" t="s">
        <v>15</v>
      </c>
      <c r="J13" s="64" t="s">
        <v>29</v>
      </c>
      <c r="K13" s="87"/>
      <c r="M13">
        <v>1.5</v>
      </c>
      <c r="N13">
        <v>0.5</v>
      </c>
    </row>
    <row r="14" spans="1:14" x14ac:dyDescent="0.25">
      <c r="B14" s="9" t="s">
        <v>7</v>
      </c>
      <c r="C14" s="11">
        <v>75</v>
      </c>
      <c r="D14" s="12">
        <v>1.33</v>
      </c>
      <c r="E14" s="13" t="s">
        <v>12</v>
      </c>
      <c r="F14" s="14">
        <v>0.08</v>
      </c>
      <c r="G14" s="14">
        <v>0.08</v>
      </c>
      <c r="H14" s="46">
        <f>-H28</f>
        <v>-75</v>
      </c>
      <c r="I14" s="16">
        <f>50+75*0.08</f>
        <v>56</v>
      </c>
      <c r="J14" s="16">
        <f>25+0.08*25</f>
        <v>27</v>
      </c>
      <c r="K14" s="49">
        <f>IRR(H14:J14)</f>
        <v>8.0000000000000071E-2</v>
      </c>
      <c r="M14">
        <f>M12-M13</f>
        <v>0.10000000000000009</v>
      </c>
      <c r="N14">
        <f>N12-N13</f>
        <v>9.9999999999999978E-2</v>
      </c>
    </row>
    <row r="15" spans="1:14" x14ac:dyDescent="0.25">
      <c r="B15" s="9" t="s">
        <v>9</v>
      </c>
      <c r="C15" s="11">
        <v>100</v>
      </c>
      <c r="D15" s="12">
        <v>1.25</v>
      </c>
      <c r="E15" s="59" t="s">
        <v>10</v>
      </c>
      <c r="F15" s="18" t="s">
        <v>25</v>
      </c>
      <c r="G15" s="14">
        <v>0.08</v>
      </c>
      <c r="H15" s="46">
        <f>-H29</f>
        <v>-1.8175582990397803</v>
      </c>
      <c r="I15" s="16">
        <f>100*0.015</f>
        <v>1.5</v>
      </c>
      <c r="J15" s="16">
        <f>50*0.01</f>
        <v>0.5</v>
      </c>
      <c r="K15" s="49">
        <f>IRR(H15:J15)</f>
        <v>8.0000000000000071E-2</v>
      </c>
      <c r="L15" s="71" t="s">
        <v>36</v>
      </c>
      <c r="M15" s="74">
        <f>NPV(0.08,M14:N14)</f>
        <v>0.17832647462277096</v>
      </c>
    </row>
    <row r="16" spans="1:14" x14ac:dyDescent="0.25">
      <c r="B16" s="9" t="s">
        <v>8</v>
      </c>
      <c r="C16" s="11">
        <v>25</v>
      </c>
      <c r="D16" s="12">
        <v>2</v>
      </c>
      <c r="E16" s="13" t="s">
        <v>13</v>
      </c>
      <c r="F16" s="14">
        <v>0.1</v>
      </c>
      <c r="G16" s="14">
        <v>0.12</v>
      </c>
      <c r="H16" s="46">
        <f>-H30</f>
        <v>-24.154974489795915</v>
      </c>
      <c r="I16" s="16">
        <f>25*0.1</f>
        <v>2.5</v>
      </c>
      <c r="J16" s="16">
        <f>19+25*0.1</f>
        <v>21.5</v>
      </c>
      <c r="K16" s="49">
        <f>IRR(H16:J16)</f>
        <v>-3.3890438226780173E-3</v>
      </c>
      <c r="M16">
        <v>5</v>
      </c>
    </row>
    <row r="17" spans="2:13" x14ac:dyDescent="0.25">
      <c r="B17" s="37" t="s">
        <v>11</v>
      </c>
      <c r="C17" s="38">
        <v>100</v>
      </c>
      <c r="D17" s="39">
        <v>1.5</v>
      </c>
      <c r="E17" s="40" t="s">
        <v>10</v>
      </c>
      <c r="F17" s="41" t="s">
        <v>14</v>
      </c>
      <c r="G17" s="42">
        <v>0.1</v>
      </c>
      <c r="H17" s="47">
        <f>-H31</f>
        <v>-100.97253278883569</v>
      </c>
      <c r="I17" s="44">
        <f>SUM(I14:I16)</f>
        <v>60</v>
      </c>
      <c r="J17" s="44">
        <f>SUM(J14:J16)</f>
        <v>49</v>
      </c>
      <c r="K17" s="50">
        <f>IRR(H17:J17)</f>
        <v>5.4444735027770585E-2</v>
      </c>
      <c r="M17" s="3">
        <f>(-H16-H7)</f>
        <v>4.830994897959183</v>
      </c>
    </row>
    <row r="18" spans="2:13" x14ac:dyDescent="0.25">
      <c r="B18" s="9" t="s">
        <v>18</v>
      </c>
      <c r="C18" s="19">
        <f>IRR(H32:J32)</f>
        <v>9.2709170410147479E-2</v>
      </c>
      <c r="D18" s="88" t="s">
        <v>20</v>
      </c>
      <c r="E18" s="88"/>
      <c r="F18" s="88"/>
      <c r="G18" s="88"/>
      <c r="H18" s="48"/>
      <c r="I18" s="16">
        <f>I17</f>
        <v>60</v>
      </c>
      <c r="J18" s="16">
        <f>J17</f>
        <v>49</v>
      </c>
      <c r="K18" s="51"/>
      <c r="M18" s="3">
        <f>M16-M17</f>
        <v>0.16900510204081698</v>
      </c>
    </row>
    <row r="19" spans="2:13" ht="13.8" thickBot="1" x14ac:dyDescent="0.3">
      <c r="B19" s="9" t="s">
        <v>19</v>
      </c>
      <c r="C19" s="19">
        <f>IRR(H33:J33)</f>
        <v>0.10000000000000009</v>
      </c>
      <c r="D19" s="62"/>
      <c r="E19" s="62"/>
      <c r="F19" s="62"/>
      <c r="G19" s="62"/>
      <c r="H19" s="46">
        <f>-C17</f>
        <v>-100</v>
      </c>
      <c r="I19" s="16">
        <f>I17</f>
        <v>60</v>
      </c>
      <c r="J19" s="16">
        <f>J17</f>
        <v>49</v>
      </c>
      <c r="K19" s="49">
        <f>IRR(H19:J19)</f>
        <v>6.1577310586390155E-2</v>
      </c>
      <c r="M19" s="74">
        <f>SUM(M15,M18)</f>
        <v>0.34733157666358794</v>
      </c>
    </row>
    <row r="20" spans="2:13" x14ac:dyDescent="0.25">
      <c r="B20" s="76" t="s">
        <v>31</v>
      </c>
      <c r="C20" s="77"/>
      <c r="D20" s="77"/>
      <c r="E20" s="77"/>
      <c r="F20" s="77"/>
      <c r="G20" s="77"/>
      <c r="H20" s="77"/>
      <c r="I20" s="77"/>
      <c r="J20" s="77"/>
      <c r="K20" s="78"/>
      <c r="M20" s="3">
        <f>-(H9-H17)</f>
        <v>0.34733157666357783</v>
      </c>
    </row>
    <row r="21" spans="2:13" x14ac:dyDescent="0.25">
      <c r="B21" s="89" t="s">
        <v>32</v>
      </c>
      <c r="C21" s="90"/>
      <c r="D21" s="90"/>
      <c r="E21" s="90"/>
      <c r="F21" s="90"/>
      <c r="G21" s="90"/>
      <c r="H21" s="90"/>
      <c r="I21" s="90"/>
      <c r="J21" s="90"/>
      <c r="K21" s="91"/>
    </row>
    <row r="22" spans="2:13" ht="13.8" thickBot="1" x14ac:dyDescent="0.3">
      <c r="B22" s="65" t="s">
        <v>30</v>
      </c>
      <c r="C22" s="66"/>
      <c r="D22" s="66"/>
      <c r="E22" s="66"/>
      <c r="F22" s="66"/>
      <c r="G22" s="66"/>
      <c r="H22" s="66"/>
      <c r="I22" s="66"/>
      <c r="J22" s="66"/>
      <c r="K22" s="67"/>
    </row>
    <row r="23" spans="2:13" ht="12.75" customHeight="1" x14ac:dyDescent="0.25"/>
    <row r="26" spans="2:13" x14ac:dyDescent="0.25">
      <c r="H26" s="83" t="s">
        <v>6</v>
      </c>
      <c r="I26" s="62" t="s">
        <v>17</v>
      </c>
      <c r="J26" s="63"/>
    </row>
    <row r="27" spans="2:13" x14ac:dyDescent="0.25">
      <c r="H27" s="82"/>
      <c r="I27" s="28" t="s">
        <v>15</v>
      </c>
      <c r="J27" s="29" t="s">
        <v>16</v>
      </c>
    </row>
    <row r="28" spans="2:13" x14ac:dyDescent="0.25">
      <c r="H28" s="15">
        <f>NPV(G14,I28:J28)</f>
        <v>75</v>
      </c>
      <c r="I28" s="16">
        <f>50+75*0.08</f>
        <v>56</v>
      </c>
      <c r="J28" s="17">
        <f>25+0.08*25</f>
        <v>27</v>
      </c>
    </row>
    <row r="29" spans="2:13" x14ac:dyDescent="0.25">
      <c r="H29" s="15">
        <f>NPV(G15,I29:J29)</f>
        <v>1.8175582990397803</v>
      </c>
      <c r="I29" s="16">
        <f>100*0.015</f>
        <v>1.5</v>
      </c>
      <c r="J29" s="17">
        <f>50*0.01</f>
        <v>0.5</v>
      </c>
    </row>
    <row r="30" spans="2:13" x14ac:dyDescent="0.25">
      <c r="H30" s="34">
        <f>NPV(G16,I30:J30)</f>
        <v>24.154974489795915</v>
      </c>
      <c r="I30" s="35">
        <f>25*0.1</f>
        <v>2.5</v>
      </c>
      <c r="J30" s="36">
        <f>25+25*0.1</f>
        <v>27.5</v>
      </c>
    </row>
    <row r="31" spans="2:13" x14ac:dyDescent="0.25">
      <c r="H31" s="43">
        <f>SUM(H28:H30)</f>
        <v>100.97253278883569</v>
      </c>
      <c r="I31" s="44">
        <f>SUM(I28:I30)</f>
        <v>60</v>
      </c>
      <c r="J31" s="45">
        <f>SUM(J28:J30)</f>
        <v>55</v>
      </c>
    </row>
    <row r="32" spans="2:13" x14ac:dyDescent="0.25">
      <c r="H32" s="20">
        <f>-H31</f>
        <v>-100.97253278883569</v>
      </c>
      <c r="I32" s="16">
        <f>I31</f>
        <v>60</v>
      </c>
      <c r="J32" s="17">
        <f>J31</f>
        <v>55</v>
      </c>
    </row>
    <row r="33" spans="8:10" ht="13.8" thickBot="1" x14ac:dyDescent="0.3">
      <c r="H33" s="24">
        <f>-C17</f>
        <v>-100</v>
      </c>
      <c r="I33" s="25">
        <f>I31</f>
        <v>60</v>
      </c>
      <c r="J33" s="26">
        <f>J31</f>
        <v>55</v>
      </c>
    </row>
    <row r="35" spans="8:10" x14ac:dyDescent="0.25">
      <c r="H35" s="54"/>
      <c r="I35" s="55" t="s">
        <v>17</v>
      </c>
      <c r="J35" s="55"/>
    </row>
    <row r="36" spans="8:10" x14ac:dyDescent="0.25">
      <c r="H36" s="54" t="s">
        <v>0</v>
      </c>
      <c r="I36" s="56" t="s">
        <v>15</v>
      </c>
      <c r="J36" s="56" t="s">
        <v>16</v>
      </c>
    </row>
    <row r="37" spans="8:10" x14ac:dyDescent="0.25">
      <c r="H37" s="54" t="s">
        <v>7</v>
      </c>
      <c r="I37" s="54">
        <v>56</v>
      </c>
      <c r="J37" s="54">
        <v>27</v>
      </c>
    </row>
    <row r="38" spans="8:10" x14ac:dyDescent="0.25">
      <c r="H38" s="54" t="s">
        <v>9</v>
      </c>
      <c r="I38" s="54">
        <v>1.5</v>
      </c>
      <c r="J38" s="54">
        <v>0.5</v>
      </c>
    </row>
    <row r="39" spans="8:10" x14ac:dyDescent="0.25">
      <c r="H39" s="54" t="s">
        <v>8</v>
      </c>
      <c r="I39" s="54">
        <v>2.5</v>
      </c>
      <c r="J39" s="54">
        <v>27.5</v>
      </c>
    </row>
  </sheetData>
  <mergeCells count="12">
    <mergeCell ref="D18:G18"/>
    <mergeCell ref="B20:K20"/>
    <mergeCell ref="B21:K21"/>
    <mergeCell ref="H26:H27"/>
    <mergeCell ref="E3:E4"/>
    <mergeCell ref="H3:H4"/>
    <mergeCell ref="K3:M3"/>
    <mergeCell ref="N3:N4"/>
    <mergeCell ref="D9:G9"/>
    <mergeCell ref="E12:E13"/>
    <mergeCell ref="H12:J12"/>
    <mergeCell ref="K12:K13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/>
  </sheetViews>
  <sheetFormatPr defaultRowHeight="13.2" x14ac:dyDescent="0.25"/>
  <cols>
    <col min="1" max="1" width="8.33203125" customWidth="1"/>
    <col min="2" max="2" width="11.5546875" customWidth="1"/>
    <col min="6" max="6" width="11.33203125" customWidth="1"/>
    <col min="12" max="12" width="9.88671875" customWidth="1"/>
  </cols>
  <sheetData>
    <row r="1" spans="1:14" x14ac:dyDescent="0.25">
      <c r="A1" s="71" t="s">
        <v>39</v>
      </c>
    </row>
    <row r="2" spans="1:14" ht="13.8" thickBot="1" x14ac:dyDescent="0.3">
      <c r="A2" s="71" t="s">
        <v>33</v>
      </c>
      <c r="B2">
        <v>80</v>
      </c>
    </row>
    <row r="3" spans="1:14" ht="12.75" customHeight="1" x14ac:dyDescent="0.25">
      <c r="B3" s="5" t="s">
        <v>24</v>
      </c>
      <c r="C3" s="69"/>
      <c r="D3" s="69"/>
      <c r="E3" s="81" t="s">
        <v>3</v>
      </c>
      <c r="F3" s="69"/>
      <c r="G3" s="69"/>
      <c r="H3" s="81" t="s">
        <v>6</v>
      </c>
      <c r="I3" s="7" t="s">
        <v>17</v>
      </c>
      <c r="J3" s="8"/>
      <c r="K3" s="80" t="s">
        <v>21</v>
      </c>
      <c r="L3" s="80"/>
      <c r="M3" s="80"/>
      <c r="N3" s="79" t="s">
        <v>22</v>
      </c>
    </row>
    <row r="4" spans="1:14" x14ac:dyDescent="0.25">
      <c r="B4" s="27" t="s">
        <v>0</v>
      </c>
      <c r="C4" s="28" t="s">
        <v>1</v>
      </c>
      <c r="D4" s="28" t="s">
        <v>2</v>
      </c>
      <c r="E4" s="82"/>
      <c r="F4" s="28" t="s">
        <v>4</v>
      </c>
      <c r="G4" s="28" t="s">
        <v>5</v>
      </c>
      <c r="H4" s="82"/>
      <c r="I4" s="28" t="s">
        <v>15</v>
      </c>
      <c r="J4" s="29" t="s">
        <v>16</v>
      </c>
      <c r="K4" s="68" t="s">
        <v>23</v>
      </c>
      <c r="L4" s="68" t="s">
        <v>15</v>
      </c>
      <c r="M4" s="68" t="s">
        <v>16</v>
      </c>
      <c r="N4" s="79"/>
    </row>
    <row r="5" spans="1:14" x14ac:dyDescent="0.25">
      <c r="B5" s="9" t="s">
        <v>7</v>
      </c>
      <c r="C5" s="11">
        <f>B2</f>
        <v>80</v>
      </c>
      <c r="D5" s="12">
        <v>1.33</v>
      </c>
      <c r="E5" s="72" t="s">
        <v>34</v>
      </c>
      <c r="F5" s="14">
        <v>0.08</v>
      </c>
      <c r="G5" s="75">
        <f>0.085</f>
        <v>8.5000000000000006E-2</v>
      </c>
      <c r="H5" s="15">
        <f>NPV(G5,I5:J5)</f>
        <v>79.503918112510348</v>
      </c>
      <c r="I5" s="16">
        <f>50+B2*0.08</f>
        <v>56.4</v>
      </c>
      <c r="J5" s="17">
        <f>(B2-50)+0.08*(B2-50)</f>
        <v>32.4</v>
      </c>
      <c r="K5" s="3">
        <f>-H5</f>
        <v>-79.503918112510348</v>
      </c>
      <c r="L5" s="2">
        <f>50+75*0.08</f>
        <v>56</v>
      </c>
      <c r="M5" s="2">
        <f>25+0.08*25</f>
        <v>27</v>
      </c>
      <c r="N5" s="4">
        <f>IRR(K5:M5)</f>
        <v>3.3094617380368785E-2</v>
      </c>
    </row>
    <row r="6" spans="1:14" x14ac:dyDescent="0.25">
      <c r="B6" s="9" t="s">
        <v>9</v>
      </c>
      <c r="C6" s="11">
        <v>100</v>
      </c>
      <c r="D6" s="12">
        <v>1.25</v>
      </c>
      <c r="E6" s="70" t="s">
        <v>10</v>
      </c>
      <c r="F6" s="73" t="s">
        <v>35</v>
      </c>
      <c r="G6" s="14">
        <v>0.08</v>
      </c>
      <c r="H6" s="15">
        <f>NPV(G6,I6:J6)</f>
        <v>1.9958847736625511</v>
      </c>
      <c r="I6" s="16">
        <f>100*0.016</f>
        <v>1.6</v>
      </c>
      <c r="J6" s="17">
        <f>50*0.012</f>
        <v>0.6</v>
      </c>
      <c r="K6" s="3">
        <f>-H6</f>
        <v>-1.9958847736625511</v>
      </c>
      <c r="L6" s="2">
        <f>100*0.015</f>
        <v>1.5</v>
      </c>
      <c r="M6" s="2">
        <f>50*0.01</f>
        <v>0.5</v>
      </c>
      <c r="N6" s="4">
        <f>IRR(K6:M6)</f>
        <v>1.6493486865118978E-3</v>
      </c>
    </row>
    <row r="7" spans="1:14" x14ac:dyDescent="0.25">
      <c r="B7" s="27" t="s">
        <v>8</v>
      </c>
      <c r="C7" s="30">
        <f>100-B2</f>
        <v>20</v>
      </c>
      <c r="D7" s="31">
        <v>2</v>
      </c>
      <c r="E7" s="32" t="s">
        <v>13</v>
      </c>
      <c r="F7" s="33">
        <v>0.1</v>
      </c>
      <c r="G7" s="33">
        <v>0.12</v>
      </c>
      <c r="H7" s="34">
        <f>NPV(G7,I7:J7)</f>
        <v>19.323979591836732</v>
      </c>
      <c r="I7" s="35">
        <f>(100-B2)*0.1</f>
        <v>2</v>
      </c>
      <c r="J7" s="36">
        <f>(100-B2)+(100-B2)*0.1</f>
        <v>22</v>
      </c>
      <c r="K7" s="3">
        <f>-H7</f>
        <v>-19.323979591836732</v>
      </c>
      <c r="L7" s="2">
        <f>25*0.1</f>
        <v>2.5</v>
      </c>
      <c r="M7" s="2">
        <f>19+25*0.1</f>
        <v>21.5</v>
      </c>
      <c r="N7" s="4">
        <f>IRR(K7:M7)</f>
        <v>0.1214700793979373</v>
      </c>
    </row>
    <row r="8" spans="1:14" x14ac:dyDescent="0.25">
      <c r="B8" s="37" t="s">
        <v>11</v>
      </c>
      <c r="C8" s="38">
        <f>SUM(C5,C7)</f>
        <v>100</v>
      </c>
      <c r="D8" s="39">
        <v>1.5</v>
      </c>
      <c r="E8" s="40" t="s">
        <v>10</v>
      </c>
      <c r="F8" s="41" t="s">
        <v>14</v>
      </c>
      <c r="G8" s="42">
        <v>0.1</v>
      </c>
      <c r="H8" s="43">
        <f>SUM(H5:H7)</f>
        <v>100.82378247800963</v>
      </c>
      <c r="I8" s="44">
        <f>SUM(I5:I7)</f>
        <v>60</v>
      </c>
      <c r="J8" s="45">
        <f>SUM(J5:J7)</f>
        <v>55</v>
      </c>
      <c r="K8" s="3">
        <f>-H8</f>
        <v>-100.82378247800963</v>
      </c>
      <c r="L8" s="2">
        <f>SUM(L5:L7)</f>
        <v>60</v>
      </c>
      <c r="M8" s="2">
        <f>SUM(M5:M7)</f>
        <v>49</v>
      </c>
      <c r="N8" s="4">
        <f>IRR(K8:M8)</f>
        <v>5.5527578917253573E-2</v>
      </c>
    </row>
    <row r="9" spans="1:14" x14ac:dyDescent="0.25">
      <c r="B9" s="9" t="s">
        <v>18</v>
      </c>
      <c r="C9" s="19">
        <f>IRR(H9:J9)</f>
        <v>9.3816092852606836E-2</v>
      </c>
      <c r="D9" s="88" t="s">
        <v>20</v>
      </c>
      <c r="E9" s="88"/>
      <c r="F9" s="88"/>
      <c r="G9" s="88"/>
      <c r="H9" s="20">
        <f>-H8</f>
        <v>-100.82378247800963</v>
      </c>
      <c r="I9" s="16">
        <f>I8</f>
        <v>60</v>
      </c>
      <c r="J9" s="17">
        <f>J8</f>
        <v>55</v>
      </c>
      <c r="L9" s="2">
        <f>L8</f>
        <v>60</v>
      </c>
      <c r="M9" s="2">
        <f>M8</f>
        <v>49</v>
      </c>
    </row>
    <row r="10" spans="1:14" ht="13.8" thickBot="1" x14ac:dyDescent="0.3">
      <c r="B10" s="21" t="s">
        <v>19</v>
      </c>
      <c r="C10" s="22">
        <f>IRR(H10:J10)</f>
        <v>0.10000000000000009</v>
      </c>
      <c r="D10" s="23"/>
      <c r="E10" s="23"/>
      <c r="F10" s="23"/>
      <c r="G10" s="23"/>
      <c r="H10" s="24">
        <f>-C8</f>
        <v>-100</v>
      </c>
      <c r="I10" s="25">
        <f>I8</f>
        <v>60</v>
      </c>
      <c r="J10" s="26">
        <f>J8</f>
        <v>55</v>
      </c>
      <c r="K10" s="3">
        <f>-C8</f>
        <v>-100</v>
      </c>
      <c r="L10" s="2">
        <f>L8</f>
        <v>60</v>
      </c>
      <c r="M10" s="2">
        <f>M8</f>
        <v>49</v>
      </c>
      <c r="N10" s="4">
        <f>IRR(K10:M10)</f>
        <v>6.1577310586390155E-2</v>
      </c>
    </row>
    <row r="11" spans="1:14" ht="13.8" thickBot="1" x14ac:dyDescent="0.3"/>
    <row r="12" spans="1:14" ht="12.75" customHeight="1" x14ac:dyDescent="0.25">
      <c r="B12" s="60" t="s">
        <v>26</v>
      </c>
      <c r="C12" s="69"/>
      <c r="D12" s="69"/>
      <c r="E12" s="81" t="s">
        <v>3</v>
      </c>
      <c r="F12" s="69"/>
      <c r="G12" s="69"/>
      <c r="H12" s="84" t="s">
        <v>21</v>
      </c>
      <c r="I12" s="85"/>
      <c r="J12" s="85"/>
      <c r="K12" s="86" t="s">
        <v>22</v>
      </c>
      <c r="M12" s="71">
        <f>0.02*80</f>
        <v>1.6</v>
      </c>
      <c r="N12">
        <f>30*0.02</f>
        <v>0.6</v>
      </c>
    </row>
    <row r="13" spans="1:14" x14ac:dyDescent="0.25">
      <c r="B13" s="27" t="s">
        <v>0</v>
      </c>
      <c r="C13" s="28" t="s">
        <v>1</v>
      </c>
      <c r="D13" s="28" t="s">
        <v>2</v>
      </c>
      <c r="E13" s="82"/>
      <c r="F13" s="28" t="s">
        <v>4</v>
      </c>
      <c r="G13" s="64" t="s">
        <v>27</v>
      </c>
      <c r="H13" s="61" t="s">
        <v>28</v>
      </c>
      <c r="I13" s="28" t="s">
        <v>15</v>
      </c>
      <c r="J13" s="64" t="s">
        <v>29</v>
      </c>
      <c r="K13" s="87"/>
      <c r="M13">
        <v>1.5</v>
      </c>
      <c r="N13">
        <v>0.5</v>
      </c>
    </row>
    <row r="14" spans="1:14" x14ac:dyDescent="0.25">
      <c r="B14" s="9" t="s">
        <v>7</v>
      </c>
      <c r="C14" s="11">
        <v>75</v>
      </c>
      <c r="D14" s="12">
        <v>1.33</v>
      </c>
      <c r="E14" s="13" t="s">
        <v>12</v>
      </c>
      <c r="F14" s="14">
        <v>0.08</v>
      </c>
      <c r="G14" s="14">
        <v>0.08</v>
      </c>
      <c r="H14" s="46">
        <f>-H28</f>
        <v>-75</v>
      </c>
      <c r="I14" s="16">
        <f>50+75*0.08</f>
        <v>56</v>
      </c>
      <c r="J14" s="16">
        <f>25+0.08*25</f>
        <v>27</v>
      </c>
      <c r="K14" s="49">
        <f>IRR(H14:J14)</f>
        <v>8.0000000000000071E-2</v>
      </c>
      <c r="M14">
        <f>M12-M13</f>
        <v>0.10000000000000009</v>
      </c>
      <c r="N14">
        <f>N12-N13</f>
        <v>9.9999999999999978E-2</v>
      </c>
    </row>
    <row r="15" spans="1:14" x14ac:dyDescent="0.25">
      <c r="B15" s="9" t="s">
        <v>9</v>
      </c>
      <c r="C15" s="11">
        <v>100</v>
      </c>
      <c r="D15" s="12">
        <v>1.25</v>
      </c>
      <c r="E15" s="70" t="s">
        <v>10</v>
      </c>
      <c r="F15" s="18" t="s">
        <v>25</v>
      </c>
      <c r="G15" s="14">
        <v>0.08</v>
      </c>
      <c r="H15" s="46">
        <f>-H29</f>
        <v>-1.8175582990397803</v>
      </c>
      <c r="I15" s="16">
        <f>100*0.015</f>
        <v>1.5</v>
      </c>
      <c r="J15" s="16">
        <f>50*0.01</f>
        <v>0.5</v>
      </c>
      <c r="K15" s="49">
        <f>IRR(H15:J15)</f>
        <v>8.0000000000000071E-2</v>
      </c>
      <c r="L15" s="71" t="s">
        <v>36</v>
      </c>
      <c r="M15" s="74">
        <f>NPV(0.08,M14:N14)</f>
        <v>0.17832647462277096</v>
      </c>
    </row>
    <row r="16" spans="1:14" x14ac:dyDescent="0.25">
      <c r="B16" s="9" t="s">
        <v>8</v>
      </c>
      <c r="C16" s="11">
        <v>25</v>
      </c>
      <c r="D16" s="12">
        <v>2</v>
      </c>
      <c r="E16" s="13" t="s">
        <v>13</v>
      </c>
      <c r="F16" s="14">
        <v>0.1</v>
      </c>
      <c r="G16" s="14">
        <v>0.12</v>
      </c>
      <c r="H16" s="46">
        <f>-H30</f>
        <v>-24.154974489795915</v>
      </c>
      <c r="I16" s="16">
        <f>25*0.1</f>
        <v>2.5</v>
      </c>
      <c r="J16" s="16">
        <f>19+25*0.1</f>
        <v>21.5</v>
      </c>
      <c r="K16" s="49">
        <f>IRR(H16:J16)</f>
        <v>-3.3890438226780173E-3</v>
      </c>
      <c r="M16">
        <v>5</v>
      </c>
    </row>
    <row r="17" spans="2:14" x14ac:dyDescent="0.25">
      <c r="B17" s="37" t="s">
        <v>11</v>
      </c>
      <c r="C17" s="38">
        <v>100</v>
      </c>
      <c r="D17" s="39">
        <v>1.5</v>
      </c>
      <c r="E17" s="40" t="s">
        <v>10</v>
      </c>
      <c r="F17" s="41" t="s">
        <v>14</v>
      </c>
      <c r="G17" s="42">
        <v>0.1</v>
      </c>
      <c r="H17" s="47">
        <f>-H31</f>
        <v>-100.97253278883569</v>
      </c>
      <c r="I17" s="44">
        <f>SUM(I14:I16)</f>
        <v>60</v>
      </c>
      <c r="J17" s="44">
        <f>SUM(J14:J16)</f>
        <v>49</v>
      </c>
      <c r="K17" s="50">
        <f>IRR(H17:J17)</f>
        <v>5.4444735027770585E-2</v>
      </c>
      <c r="M17" s="3">
        <f>(-H16-H7)</f>
        <v>4.830994897959183</v>
      </c>
    </row>
    <row r="18" spans="2:14" x14ac:dyDescent="0.25">
      <c r="B18" s="9" t="s">
        <v>18</v>
      </c>
      <c r="C18" s="19">
        <f>IRR(H32:J32)</f>
        <v>9.2709170410147479E-2</v>
      </c>
      <c r="D18" s="88" t="s">
        <v>20</v>
      </c>
      <c r="E18" s="88"/>
      <c r="F18" s="88"/>
      <c r="G18" s="88"/>
      <c r="H18" s="48"/>
      <c r="I18" s="16">
        <f>I17</f>
        <v>60</v>
      </c>
      <c r="J18" s="16">
        <f>J17</f>
        <v>49</v>
      </c>
      <c r="K18" s="51"/>
      <c r="M18" s="3">
        <f>M16-M17</f>
        <v>0.16900510204081698</v>
      </c>
    </row>
    <row r="19" spans="2:14" ht="13.8" thickBot="1" x14ac:dyDescent="0.3">
      <c r="B19" s="9" t="s">
        <v>19</v>
      </c>
      <c r="C19" s="19">
        <f>IRR(H33:J33)</f>
        <v>0.10000000000000009</v>
      </c>
      <c r="D19" s="62"/>
      <c r="E19" s="62"/>
      <c r="F19" s="62"/>
      <c r="G19" s="62"/>
      <c r="H19" s="46">
        <f>-C17</f>
        <v>-100</v>
      </c>
      <c r="I19" s="16">
        <f>I17</f>
        <v>60</v>
      </c>
      <c r="J19" s="16">
        <f>J17</f>
        <v>49</v>
      </c>
      <c r="K19" s="49">
        <f>IRR(H19:J19)</f>
        <v>6.1577310586390155E-2</v>
      </c>
      <c r="M19" s="74">
        <f>SUM(M15,M18)</f>
        <v>0.34733157666358794</v>
      </c>
    </row>
    <row r="20" spans="2:14" x14ac:dyDescent="0.25">
      <c r="B20" s="76" t="s">
        <v>31</v>
      </c>
      <c r="C20" s="77"/>
      <c r="D20" s="77"/>
      <c r="E20" s="77"/>
      <c r="F20" s="77"/>
      <c r="G20" s="77"/>
      <c r="H20" s="77"/>
      <c r="I20" s="77"/>
      <c r="J20" s="77"/>
      <c r="K20" s="78"/>
      <c r="M20" s="3">
        <f>-(H9-H17)</f>
        <v>-0.14875031082605972</v>
      </c>
    </row>
    <row r="21" spans="2:14" x14ac:dyDescent="0.25">
      <c r="B21" s="89" t="s">
        <v>32</v>
      </c>
      <c r="C21" s="90"/>
      <c r="D21" s="90"/>
      <c r="E21" s="90"/>
      <c r="F21" s="90"/>
      <c r="G21" s="90"/>
      <c r="H21" s="90"/>
      <c r="I21" s="90"/>
      <c r="J21" s="90"/>
      <c r="K21" s="91"/>
    </row>
    <row r="22" spans="2:14" ht="13.8" thickBot="1" x14ac:dyDescent="0.3">
      <c r="B22" s="65" t="s">
        <v>30</v>
      </c>
      <c r="C22" s="66"/>
      <c r="D22" s="66"/>
      <c r="E22" s="66"/>
      <c r="F22" s="66"/>
      <c r="G22" s="66"/>
      <c r="H22" s="66"/>
      <c r="I22" s="66"/>
      <c r="J22" s="66"/>
      <c r="K22" s="67"/>
    </row>
    <row r="23" spans="2:14" ht="12.75" customHeight="1" x14ac:dyDescent="0.25"/>
    <row r="26" spans="2:14" x14ac:dyDescent="0.25">
      <c r="H26" s="83" t="s">
        <v>6</v>
      </c>
      <c r="I26" s="62" t="s">
        <v>17</v>
      </c>
      <c r="J26" s="63"/>
      <c r="N26">
        <f>0.28*0.43</f>
        <v>0.12040000000000001</v>
      </c>
    </row>
    <row r="27" spans="2:14" x14ac:dyDescent="0.25">
      <c r="H27" s="82"/>
      <c r="I27" s="28" t="s">
        <v>15</v>
      </c>
      <c r="J27" s="29" t="s">
        <v>16</v>
      </c>
    </row>
    <row r="28" spans="2:14" x14ac:dyDescent="0.25">
      <c r="H28" s="15">
        <f>NPV(G14,I28:J28)</f>
        <v>75</v>
      </c>
      <c r="I28" s="16">
        <f>50+75*0.08</f>
        <v>56</v>
      </c>
      <c r="J28" s="17">
        <f>25+0.08*25</f>
        <v>27</v>
      </c>
    </row>
    <row r="29" spans="2:14" x14ac:dyDescent="0.25">
      <c r="H29" s="15">
        <f>NPV(G15,I29:J29)</f>
        <v>1.8175582990397803</v>
      </c>
      <c r="I29" s="16">
        <f>100*0.015</f>
        <v>1.5</v>
      </c>
      <c r="J29" s="17">
        <f>50*0.01</f>
        <v>0.5</v>
      </c>
    </row>
    <row r="30" spans="2:14" x14ac:dyDescent="0.25">
      <c r="H30" s="34">
        <f>NPV(G16,I30:J30)</f>
        <v>24.154974489795915</v>
      </c>
      <c r="I30" s="35">
        <f>25*0.1</f>
        <v>2.5</v>
      </c>
      <c r="J30" s="36">
        <f>25+25*0.1</f>
        <v>27.5</v>
      </c>
    </row>
    <row r="31" spans="2:14" x14ac:dyDescent="0.25">
      <c r="H31" s="43">
        <f>SUM(H28:H30)</f>
        <v>100.97253278883569</v>
      </c>
      <c r="I31" s="44">
        <f>SUM(I28:I30)</f>
        <v>60</v>
      </c>
      <c r="J31" s="45">
        <f>SUM(J28:J30)</f>
        <v>55</v>
      </c>
    </row>
    <row r="32" spans="2:14" x14ac:dyDescent="0.25">
      <c r="H32" s="20">
        <f>-H31</f>
        <v>-100.97253278883569</v>
      </c>
      <c r="I32" s="16">
        <f>I31</f>
        <v>60</v>
      </c>
      <c r="J32" s="17">
        <f>J31</f>
        <v>55</v>
      </c>
    </row>
    <row r="33" spans="8:10" ht="13.8" thickBot="1" x14ac:dyDescent="0.3">
      <c r="H33" s="24">
        <f>-C17</f>
        <v>-100</v>
      </c>
      <c r="I33" s="25">
        <f>I31</f>
        <v>60</v>
      </c>
      <c r="J33" s="26">
        <f>J31</f>
        <v>55</v>
      </c>
    </row>
    <row r="35" spans="8:10" x14ac:dyDescent="0.25">
      <c r="H35" s="54"/>
      <c r="I35" s="55" t="s">
        <v>17</v>
      </c>
      <c r="J35" s="55"/>
    </row>
    <row r="36" spans="8:10" x14ac:dyDescent="0.25">
      <c r="H36" s="54" t="s">
        <v>0</v>
      </c>
      <c r="I36" s="56" t="s">
        <v>15</v>
      </c>
      <c r="J36" s="56" t="s">
        <v>16</v>
      </c>
    </row>
    <row r="37" spans="8:10" x14ac:dyDescent="0.25">
      <c r="H37" s="54" t="s">
        <v>7</v>
      </c>
      <c r="I37" s="54">
        <v>56</v>
      </c>
      <c r="J37" s="54">
        <v>27</v>
      </c>
    </row>
    <row r="38" spans="8:10" x14ac:dyDescent="0.25">
      <c r="H38" s="54" t="s">
        <v>9</v>
      </c>
      <c r="I38" s="54">
        <v>1.5</v>
      </c>
      <c r="J38" s="54">
        <v>0.5</v>
      </c>
    </row>
    <row r="39" spans="8:10" x14ac:dyDescent="0.25">
      <c r="H39" s="54" t="s">
        <v>8</v>
      </c>
      <c r="I39" s="54">
        <v>2.5</v>
      </c>
      <c r="J39" s="54">
        <v>27.5</v>
      </c>
    </row>
  </sheetData>
  <mergeCells count="12">
    <mergeCell ref="N3:N4"/>
    <mergeCell ref="D9:G9"/>
    <mergeCell ref="E12:E13"/>
    <mergeCell ref="H12:J12"/>
    <mergeCell ref="K12:K13"/>
    <mergeCell ref="D18:G18"/>
    <mergeCell ref="B20:K20"/>
    <mergeCell ref="B21:K21"/>
    <mergeCell ref="H26:H27"/>
    <mergeCell ref="E3:E4"/>
    <mergeCell ref="H3:H4"/>
    <mergeCell ref="K3:M3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/>
  </sheetViews>
  <sheetFormatPr defaultRowHeight="14.4" x14ac:dyDescent="0.3"/>
  <cols>
    <col min="1" max="16384" width="8.88671875" style="92"/>
  </cols>
  <sheetData>
    <row r="1" spans="1:10" x14ac:dyDescent="0.3">
      <c r="A1" s="92" t="s">
        <v>40</v>
      </c>
    </row>
    <row r="2" spans="1:10" x14ac:dyDescent="0.3">
      <c r="B2" s="93" t="s">
        <v>41</v>
      </c>
      <c r="C2" s="94" t="s">
        <v>42</v>
      </c>
      <c r="D2" s="94" t="s">
        <v>43</v>
      </c>
      <c r="E2" s="94" t="s">
        <v>44</v>
      </c>
      <c r="F2" s="94" t="s">
        <v>45</v>
      </c>
      <c r="G2" s="94" t="s">
        <v>46</v>
      </c>
      <c r="H2" s="94" t="s">
        <v>47</v>
      </c>
      <c r="I2" s="94" t="s">
        <v>48</v>
      </c>
      <c r="J2" s="94" t="s">
        <v>49</v>
      </c>
    </row>
    <row r="3" spans="1:10" x14ac:dyDescent="0.3">
      <c r="B3" s="95">
        <v>1995</v>
      </c>
      <c r="C3" s="95"/>
      <c r="D3" s="96">
        <v>33.333333333333336</v>
      </c>
      <c r="E3" s="96">
        <v>28</v>
      </c>
      <c r="F3" s="96">
        <v>21.333333333333332</v>
      </c>
      <c r="G3" s="96">
        <v>15.25</v>
      </c>
      <c r="H3" s="96">
        <v>7</v>
      </c>
      <c r="I3" s="96">
        <v>2.6666666666666665</v>
      </c>
      <c r="J3" s="96">
        <v>0</v>
      </c>
    </row>
    <row r="4" spans="1:10" x14ac:dyDescent="0.3">
      <c r="B4" s="95">
        <v>1996</v>
      </c>
      <c r="C4" s="95"/>
      <c r="D4" s="96">
        <v>32.175555555555562</v>
      </c>
      <c r="E4" s="96">
        <v>26.617777777777778</v>
      </c>
      <c r="F4" s="96">
        <v>20.168888888888887</v>
      </c>
      <c r="G4" s="96">
        <v>14.16888888888889</v>
      </c>
      <c r="H4" s="96">
        <v>5.7707407407407407</v>
      </c>
      <c r="I4" s="96">
        <v>1.987222222222222</v>
      </c>
      <c r="J4" s="96">
        <v>0</v>
      </c>
    </row>
    <row r="5" spans="1:10" x14ac:dyDescent="0.3">
      <c r="B5" s="95">
        <v>1997</v>
      </c>
      <c r="C5" s="95"/>
      <c r="D5" s="96">
        <v>30.135000000000002</v>
      </c>
      <c r="E5" s="96">
        <v>24.3215</v>
      </c>
      <c r="F5" s="96">
        <v>17.941499999999998</v>
      </c>
      <c r="G5" s="96">
        <v>12.575666666666667</v>
      </c>
      <c r="H5" s="96">
        <v>5.2811666666666657</v>
      </c>
      <c r="I5" s="96">
        <v>2.1909166666666668</v>
      </c>
      <c r="J5" s="96">
        <v>8.7499999999999994E-2</v>
      </c>
    </row>
    <row r="6" spans="1:10" x14ac:dyDescent="0.3">
      <c r="B6" s="95">
        <v>1998</v>
      </c>
      <c r="C6" s="95"/>
      <c r="D6" s="96">
        <v>28.521720430107525</v>
      </c>
      <c r="E6" s="96">
        <v>23.437741935483874</v>
      </c>
      <c r="F6" s="96">
        <v>17.989516129032257</v>
      </c>
      <c r="G6" s="96">
        <v>11.666612903225808</v>
      </c>
      <c r="H6" s="96">
        <v>5.2389784946236562</v>
      </c>
      <c r="I6" s="96">
        <v>2.1242473118279568</v>
      </c>
      <c r="J6" s="96">
        <v>0.35483870967741937</v>
      </c>
    </row>
    <row r="7" spans="1:10" x14ac:dyDescent="0.3">
      <c r="B7" s="95">
        <v>1999</v>
      </c>
      <c r="C7" s="95"/>
      <c r="D7" s="96">
        <v>26.894999999999996</v>
      </c>
      <c r="E7" s="96">
        <v>22.068194444444444</v>
      </c>
      <c r="F7" s="96">
        <v>16.635972222222222</v>
      </c>
      <c r="G7" s="96">
        <v>11.189050925925926</v>
      </c>
      <c r="H7" s="96">
        <v>5.7734259259259257</v>
      </c>
      <c r="I7" s="96">
        <v>2.4437962962962967</v>
      </c>
      <c r="J7" s="96">
        <v>0.34861111111111115</v>
      </c>
    </row>
    <row r="8" spans="1:10" x14ac:dyDescent="0.3">
      <c r="B8" s="95">
        <v>2000</v>
      </c>
      <c r="C8" s="95"/>
      <c r="D8" s="96">
        <v>23</v>
      </c>
      <c r="E8" s="96">
        <v>18.619193548387095</v>
      </c>
      <c r="F8" s="96">
        <v>13.764032258064516</v>
      </c>
      <c r="G8" s="96">
        <v>9.675430107526882</v>
      </c>
      <c r="H8" s="96">
        <v>4.8332258064516127</v>
      </c>
      <c r="I8" s="96">
        <v>2.2547311827956986</v>
      </c>
      <c r="J8" s="96">
        <v>0.19774193548387095</v>
      </c>
    </row>
    <row r="9" spans="1:10" x14ac:dyDescent="0.3">
      <c r="B9" s="95">
        <v>2001</v>
      </c>
      <c r="C9" s="95"/>
      <c r="D9" s="96">
        <v>21.171944444444446</v>
      </c>
      <c r="E9" s="96">
        <v>17.018935185185185</v>
      </c>
      <c r="F9" s="96">
        <v>12.761851851851851</v>
      </c>
      <c r="G9" s="96">
        <v>8.9890277777777783</v>
      </c>
      <c r="H9" s="96">
        <v>4.5386342592592577</v>
      </c>
      <c r="I9" s="96">
        <v>2.0847685185185183</v>
      </c>
      <c r="J9" s="96">
        <v>0.22027777777777777</v>
      </c>
    </row>
    <row r="10" spans="1:10" x14ac:dyDescent="0.3">
      <c r="B10" s="95">
        <v>2002</v>
      </c>
      <c r="C10" s="95"/>
      <c r="D10" s="96">
        <v>19.241891891891889</v>
      </c>
      <c r="E10" s="96">
        <v>15.309301801801801</v>
      </c>
      <c r="F10" s="96">
        <v>11.454459459459459</v>
      </c>
      <c r="G10" s="96">
        <v>8.1618243243243249</v>
      </c>
      <c r="H10" s="96">
        <v>4.339144144144143</v>
      </c>
      <c r="I10" s="96">
        <v>2.2475450450450452</v>
      </c>
      <c r="J10" s="96">
        <v>0.22675675675675677</v>
      </c>
    </row>
    <row r="11" spans="1:10" x14ac:dyDescent="0.3">
      <c r="B11" s="95">
        <v>2003</v>
      </c>
      <c r="C11" s="95"/>
      <c r="D11" s="96">
        <v>16.424042553191487</v>
      </c>
      <c r="E11" s="96">
        <v>12.965585106382981</v>
      </c>
      <c r="F11" s="96">
        <v>9.2977659574468081</v>
      </c>
      <c r="G11" s="96">
        <v>6.2764893617021267</v>
      </c>
      <c r="H11" s="96">
        <v>3.2659929078014178</v>
      </c>
      <c r="I11" s="96">
        <v>1.7999645390070917</v>
      </c>
      <c r="J11" s="96">
        <v>5.3191489361702128E-2</v>
      </c>
    </row>
    <row r="12" spans="1:10" x14ac:dyDescent="0.3">
      <c r="B12" s="95">
        <v>2004</v>
      </c>
      <c r="C12" s="95"/>
      <c r="D12" s="96">
        <v>15.426888950892856</v>
      </c>
      <c r="E12" s="96">
        <v>11.286966145833334</v>
      </c>
      <c r="F12" s="96">
        <v>8.1343229166666653</v>
      </c>
      <c r="G12" s="96">
        <v>5.1062109375000011</v>
      </c>
      <c r="H12" s="96">
        <v>2.9307812499999994</v>
      </c>
      <c r="I12" s="96">
        <v>1.6440885416666662</v>
      </c>
      <c r="J12" s="96">
        <v>0</v>
      </c>
    </row>
    <row r="13" spans="1:10" x14ac:dyDescent="0.3">
      <c r="B13" s="95">
        <v>2005</v>
      </c>
      <c r="C13" s="96">
        <v>22.490749751813127</v>
      </c>
      <c r="D13" s="96">
        <v>13</v>
      </c>
      <c r="E13" s="96">
        <v>10.295340375586857</v>
      </c>
      <c r="F13" s="96">
        <v>7.2639671361502334</v>
      </c>
      <c r="G13" s="96">
        <v>4.3132159624413147</v>
      </c>
      <c r="H13" s="96">
        <v>2.4091079812206559</v>
      </c>
      <c r="I13" s="96">
        <v>1.4607276995305163</v>
      </c>
      <c r="J13" s="96">
        <v>0</v>
      </c>
    </row>
    <row r="14" spans="1:10" x14ac:dyDescent="0.3">
      <c r="B14" s="95">
        <v>2006</v>
      </c>
      <c r="C14" s="96">
        <v>25.726714416680878</v>
      </c>
      <c r="D14" s="96">
        <v>12.5</v>
      </c>
      <c r="E14" s="96">
        <v>10.767550813008135</v>
      </c>
      <c r="F14" s="96">
        <v>7.0039634146341481</v>
      </c>
      <c r="G14" s="96">
        <v>3.9071544715447146</v>
      </c>
      <c r="H14" s="96">
        <v>2.0584146341463407</v>
      </c>
      <c r="I14" s="96">
        <v>1.26359756097561</v>
      </c>
      <c r="J14" s="96">
        <v>1.0731707317073172E-2</v>
      </c>
    </row>
    <row r="15" spans="1:10" x14ac:dyDescent="0.3">
      <c r="B15" s="95">
        <v>2007</v>
      </c>
      <c r="C15" s="96">
        <v>26.114538025936053</v>
      </c>
      <c r="D15" s="96">
        <v>12.5</v>
      </c>
      <c r="E15" s="96">
        <v>11.591184210526318</v>
      </c>
      <c r="F15" s="96">
        <v>7.752521929824562</v>
      </c>
      <c r="G15" s="96">
        <v>4.0116666666666658</v>
      </c>
      <c r="H15" s="96">
        <v>1.9379385964912283</v>
      </c>
      <c r="I15" s="96">
        <v>1.2704385964912286</v>
      </c>
      <c r="J15" s="96">
        <v>5.7631578947368423E-2</v>
      </c>
    </row>
    <row r="16" spans="1:10" x14ac:dyDescent="0.3">
      <c r="B16" s="95">
        <v>2008</v>
      </c>
      <c r="C16" s="96">
        <v>26.449795173961846</v>
      </c>
      <c r="D16" s="96">
        <v>14.9</v>
      </c>
      <c r="E16" s="96">
        <v>12.794074074074073</v>
      </c>
      <c r="F16" s="96">
        <v>9.93074074074074</v>
      </c>
      <c r="G16" s="96">
        <v>6.8096296296296295</v>
      </c>
      <c r="H16" s="96">
        <v>4.2525925925925918</v>
      </c>
      <c r="I16" s="96">
        <v>2.5877777777777777</v>
      </c>
      <c r="J16" s="9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20-5</vt:lpstr>
      <vt:lpstr>20-5 (2)</vt:lpstr>
      <vt:lpstr>20-5 (3)</vt:lpstr>
      <vt:lpstr>Exh 20-7</vt:lpstr>
    </vt:vector>
  </TitlesOfParts>
  <Company>MIT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Geltner</dc:creator>
  <cp:lastModifiedBy>dgeltner</cp:lastModifiedBy>
  <dcterms:created xsi:type="dcterms:W3CDTF">2010-03-01T15:15:24Z</dcterms:created>
  <dcterms:modified xsi:type="dcterms:W3CDTF">2013-02-23T23:46:12Z</dcterms:modified>
</cp:coreProperties>
</file>