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" windowWidth="15192" windowHeight="12120"/>
  </bookViews>
  <sheets>
    <sheet name="Intro" sheetId="13" r:id="rId1"/>
    <sheet name="Exhs 18-1-3" sheetId="14" r:id="rId2"/>
    <sheet name="Esaki Data" sheetId="15" r:id="rId3"/>
    <sheet name="Esaki Haz Calcs" sheetId="16" r:id="rId4"/>
    <sheet name="Exh18-4" sheetId="3" r:id="rId5"/>
    <sheet name="Exh18-5" sheetId="5" r:id="rId6"/>
    <sheet name="3yrLoanExmpl" sheetId="7" r:id="rId7"/>
    <sheet name="YldDegr" sheetId="8" r:id="rId8"/>
    <sheet name="ContractCFsExhs1-2" sheetId="9" r:id="rId9"/>
    <sheet name="E(CFs)30yrs" sheetId="10" r:id="rId10"/>
    <sheet name="Exh 18-7" sheetId="11" r:id="rId11"/>
    <sheet name="Exh 18-7b" sheetId="12" r:id="rId12"/>
  </sheets>
  <externalReferences>
    <externalReference r:id="rId13"/>
    <externalReference r:id="rId14"/>
  </externalReferences>
  <definedNames>
    <definedName name="newchart" hidden="1">'[1]CAM-Sched'!$D$7:$D$366</definedName>
    <definedName name="newchart2" hidden="1">'[1]CAM-Sched'!$D$7:$D$366</definedName>
    <definedName name="newchart3" hidden="1">'[1]CAM-Sched'!$C$7:$C$366</definedName>
    <definedName name="newchart4" hidden="1">'[1]CAM-Sched'!$C$7:$C$366</definedName>
    <definedName name="newchart5" hidden="1">'[1]CAM-Sched'!$E$7:$E$366</definedName>
    <definedName name="newchart6" hidden="1">'[1]CAM-Sched'!$E$7:$E$366</definedName>
    <definedName name="Print_Area_MI">#REF!</definedName>
  </definedNames>
  <calcPr calcId="125725"/>
  <fileRecoveryPr repairLoad="1"/>
</workbook>
</file>

<file path=xl/calcChain.xml><?xml version="1.0" encoding="utf-8"?>
<calcChain xmlns="http://schemas.openxmlformats.org/spreadsheetml/2006/main">
  <c r="C35" i="16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E7"/>
  <c r="C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G6"/>
  <c r="E6"/>
  <c r="C6"/>
  <c r="D6" s="1"/>
  <c r="A6"/>
  <c r="A12" i="15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8"/>
  <c r="A9" s="1"/>
  <c r="A10" s="1"/>
  <c r="A11" s="1"/>
  <c r="A7"/>
  <c r="T42" i="14"/>
  <c r="S42"/>
  <c r="T41"/>
  <c r="S41"/>
  <c r="T40"/>
  <c r="S40"/>
  <c r="T39"/>
  <c r="S39"/>
  <c r="T38"/>
  <c r="S38"/>
  <c r="T37"/>
  <c r="S37"/>
  <c r="T36"/>
  <c r="S36"/>
  <c r="T35"/>
  <c r="S35"/>
  <c r="T34"/>
  <c r="S34"/>
  <c r="T33"/>
  <c r="S33"/>
  <c r="T32"/>
  <c r="S32"/>
  <c r="T31"/>
  <c r="S31"/>
  <c r="T30"/>
  <c r="S30"/>
  <c r="T29"/>
  <c r="S29"/>
  <c r="T28"/>
  <c r="S28"/>
  <c r="T27"/>
  <c r="S27"/>
  <c r="T26"/>
  <c r="S26"/>
  <c r="T25"/>
  <c r="S25"/>
  <c r="T24"/>
  <c r="S24"/>
  <c r="T23"/>
  <c r="S23"/>
  <c r="T22"/>
  <c r="S22"/>
  <c r="T21"/>
  <c r="S21"/>
  <c r="T20"/>
  <c r="S20"/>
  <c r="T19"/>
  <c r="S19"/>
  <c r="T18"/>
  <c r="S18"/>
  <c r="T17"/>
  <c r="S17"/>
  <c r="T16"/>
  <c r="S16"/>
  <c r="T15"/>
  <c r="S15"/>
  <c r="T14"/>
  <c r="S14"/>
  <c r="T13"/>
  <c r="T7" s="1"/>
  <c r="S13"/>
  <c r="T12"/>
  <c r="S12"/>
  <c r="T8"/>
  <c r="B39" i="12"/>
  <c r="K37"/>
  <c r="K20" s="1"/>
  <c r="I35"/>
  <c r="I18" s="1"/>
  <c r="I34"/>
  <c r="B31"/>
  <c r="C30"/>
  <c r="B30"/>
  <c r="A25"/>
  <c r="A24"/>
  <c r="A23"/>
  <c r="B22"/>
  <c r="K18"/>
  <c r="J18"/>
  <c r="H18"/>
  <c r="G18"/>
  <c r="F18"/>
  <c r="E18"/>
  <c r="D18"/>
  <c r="C18"/>
  <c r="B18"/>
  <c r="K17"/>
  <c r="J17"/>
  <c r="I17"/>
  <c r="H17"/>
  <c r="G17"/>
  <c r="F17"/>
  <c r="E17"/>
  <c r="D17"/>
  <c r="C17"/>
  <c r="B17"/>
  <c r="L14"/>
  <c r="K14"/>
  <c r="J14"/>
  <c r="H14"/>
  <c r="G14"/>
  <c r="F14"/>
  <c r="E14"/>
  <c r="D14"/>
  <c r="C14"/>
  <c r="B14"/>
  <c r="B12"/>
  <c r="C39" i="11"/>
  <c r="B39"/>
  <c r="I35"/>
  <c r="I18" s="1"/>
  <c r="I34"/>
  <c r="D33"/>
  <c r="B33"/>
  <c r="D31"/>
  <c r="C31"/>
  <c r="C33" s="1"/>
  <c r="C38" s="1"/>
  <c r="B31"/>
  <c r="C30"/>
  <c r="B30"/>
  <c r="A25"/>
  <c r="A24"/>
  <c r="A23"/>
  <c r="B22"/>
  <c r="K18"/>
  <c r="J18"/>
  <c r="H18"/>
  <c r="G18"/>
  <c r="F18"/>
  <c r="E18"/>
  <c r="D18"/>
  <c r="C18"/>
  <c r="B18"/>
  <c r="K17"/>
  <c r="J17"/>
  <c r="I17"/>
  <c r="H17"/>
  <c r="G17"/>
  <c r="F17"/>
  <c r="E17"/>
  <c r="D17"/>
  <c r="C17"/>
  <c r="B17"/>
  <c r="C16"/>
  <c r="B16"/>
  <c r="C15"/>
  <c r="B15"/>
  <c r="L14"/>
  <c r="K14"/>
  <c r="J14"/>
  <c r="H14"/>
  <c r="G14"/>
  <c r="F14"/>
  <c r="E14"/>
  <c r="D14"/>
  <c r="C14"/>
  <c r="B14"/>
  <c r="C13"/>
  <c r="B12"/>
  <c r="AI43" i="10"/>
  <c r="X43"/>
  <c r="W43"/>
  <c r="AL42"/>
  <c r="AH42"/>
  <c r="AA42"/>
  <c r="C41"/>
  <c r="B41"/>
  <c r="C40"/>
  <c r="B40"/>
  <c r="K39"/>
  <c r="K40" s="1"/>
  <c r="K41" s="1"/>
  <c r="B39"/>
  <c r="B38"/>
  <c r="C38" s="1"/>
  <c r="B37"/>
  <c r="B36"/>
  <c r="B35"/>
  <c r="C35" s="1"/>
  <c r="B34"/>
  <c r="C34" s="1"/>
  <c r="B33"/>
  <c r="B32"/>
  <c r="B31"/>
  <c r="C31" s="1"/>
  <c r="B30"/>
  <c r="C30" s="1"/>
  <c r="B29"/>
  <c r="B28"/>
  <c r="B27"/>
  <c r="B26"/>
  <c r="C26" s="1"/>
  <c r="B25"/>
  <c r="C25" s="1"/>
  <c r="B24"/>
  <c r="B23"/>
  <c r="B22"/>
  <c r="C22" s="1"/>
  <c r="B21"/>
  <c r="C21" s="1"/>
  <c r="B20"/>
  <c r="B19"/>
  <c r="B18"/>
  <c r="C18" s="1"/>
  <c r="B17"/>
  <c r="C17" s="1"/>
  <c r="B16"/>
  <c r="K15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K29" s="1"/>
  <c r="K30" s="1"/>
  <c r="K31" s="1"/>
  <c r="K32" s="1"/>
  <c r="K33" s="1"/>
  <c r="K34" s="1"/>
  <c r="K35" s="1"/>
  <c r="K36" s="1"/>
  <c r="K37" s="1"/>
  <c r="K38" s="1"/>
  <c r="B15"/>
  <c r="C15" s="1"/>
  <c r="C14"/>
  <c r="B14"/>
  <c r="B13"/>
  <c r="B12"/>
  <c r="A12"/>
  <c r="BV10"/>
  <c r="BU10"/>
  <c r="BS10"/>
  <c r="BR10"/>
  <c r="BQ10"/>
  <c r="BP10"/>
  <c r="BO10"/>
  <c r="BN10"/>
  <c r="BM10"/>
  <c r="BL10"/>
  <c r="BK10"/>
  <c r="BJ10"/>
  <c r="BI10"/>
  <c r="BH10"/>
  <c r="BG10"/>
  <c r="BF10"/>
  <c r="BE10"/>
  <c r="BD10"/>
  <c r="BC10"/>
  <c r="BB10"/>
  <c r="BA10"/>
  <c r="AZ10"/>
  <c r="AY10"/>
  <c r="AX10"/>
  <c r="AW10"/>
  <c r="AV10"/>
  <c r="AU10"/>
  <c r="AT10"/>
  <c r="AS10"/>
  <c r="AR10"/>
  <c r="AQ10"/>
  <c r="AP10"/>
  <c r="A16" i="9"/>
  <c r="A15"/>
  <c r="A14"/>
  <c r="C13"/>
  <c r="E12"/>
  <c r="R11"/>
  <c r="D7"/>
  <c r="D6"/>
  <c r="F5"/>
  <c r="B13" s="1"/>
  <c r="D5"/>
  <c r="AR35" i="8"/>
  <c r="G35"/>
  <c r="B35"/>
  <c r="G34"/>
  <c r="B34"/>
  <c r="G33"/>
  <c r="B33"/>
  <c r="G32"/>
  <c r="B32"/>
  <c r="C32" s="1"/>
  <c r="G31"/>
  <c r="B31"/>
  <c r="C31" s="1"/>
  <c r="G30"/>
  <c r="B30"/>
  <c r="C30" s="1"/>
  <c r="K29"/>
  <c r="G29"/>
  <c r="B29"/>
  <c r="G28"/>
  <c r="B28"/>
  <c r="C28" s="1"/>
  <c r="G27"/>
  <c r="B27"/>
  <c r="G26"/>
  <c r="B26"/>
  <c r="C26" s="1"/>
  <c r="G25"/>
  <c r="B25"/>
  <c r="G24"/>
  <c r="B24"/>
  <c r="C24" s="1"/>
  <c r="G23"/>
  <c r="B23"/>
  <c r="G22"/>
  <c r="B22"/>
  <c r="C22" s="1"/>
  <c r="G21"/>
  <c r="B21"/>
  <c r="G20"/>
  <c r="B20"/>
  <c r="C20" s="1"/>
  <c r="G19"/>
  <c r="B19"/>
  <c r="G18"/>
  <c r="B18"/>
  <c r="C18" s="1"/>
  <c r="G17"/>
  <c r="B17"/>
  <c r="G16"/>
  <c r="B16"/>
  <c r="C16" s="1"/>
  <c r="G15"/>
  <c r="B15"/>
  <c r="G14"/>
  <c r="B14"/>
  <c r="C14" s="1"/>
  <c r="G13"/>
  <c r="B13"/>
  <c r="G12"/>
  <c r="B12"/>
  <c r="C12" s="1"/>
  <c r="G11"/>
  <c r="B11"/>
  <c r="G10"/>
  <c r="B10"/>
  <c r="C10" s="1"/>
  <c r="G9"/>
  <c r="B9"/>
  <c r="G8"/>
  <c r="B8"/>
  <c r="C8" s="1"/>
  <c r="G7"/>
  <c r="B7"/>
  <c r="F7" s="1"/>
  <c r="G6"/>
  <c r="B6"/>
  <c r="C6" s="1"/>
  <c r="D6" s="1"/>
  <c r="E6" s="1"/>
  <c r="A6"/>
  <c r="AN5"/>
  <c r="AK5"/>
  <c r="AF5"/>
  <c r="AD5"/>
  <c r="Y5"/>
  <c r="X5"/>
  <c r="R5"/>
  <c r="P5"/>
  <c r="K5"/>
  <c r="S4"/>
  <c r="T4" s="1"/>
  <c r="U4" s="1"/>
  <c r="V4" s="1"/>
  <c r="W4" s="1"/>
  <c r="X4" s="1"/>
  <c r="Y4" s="1"/>
  <c r="Z4" s="1"/>
  <c r="AA4" s="1"/>
  <c r="AB4" s="1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Q4"/>
  <c r="R4" s="1"/>
  <c r="P4"/>
  <c r="A14" i="7"/>
  <c r="L11"/>
  <c r="K11"/>
  <c r="I11"/>
  <c r="C11"/>
  <c r="M10"/>
  <c r="P10" s="1"/>
  <c r="K10"/>
  <c r="I10"/>
  <c r="L10" s="1"/>
  <c r="N10" s="1"/>
  <c r="Q10" s="1"/>
  <c r="C10"/>
  <c r="D10" s="1"/>
  <c r="N9"/>
  <c r="Q9" s="1"/>
  <c r="L9"/>
  <c r="M9" s="1"/>
  <c r="P9" s="1"/>
  <c r="K9"/>
  <c r="I9"/>
  <c r="G9"/>
  <c r="D9"/>
  <c r="G10" s="1"/>
  <c r="A15" s="1"/>
  <c r="C9"/>
  <c r="A9"/>
  <c r="A10" s="1"/>
  <c r="O8"/>
  <c r="N8"/>
  <c r="I8"/>
  <c r="F8"/>
  <c r="R7"/>
  <c r="Q7"/>
  <c r="P7"/>
  <c r="I5"/>
  <c r="D7" i="16" l="1"/>
  <c r="D9"/>
  <c r="D8"/>
  <c r="G13" i="7"/>
  <c r="E10"/>
  <c r="G11"/>
  <c r="A16" s="1"/>
  <c r="D11"/>
  <c r="D8" i="8"/>
  <c r="E8" s="1"/>
  <c r="A7"/>
  <c r="R12" i="9"/>
  <c r="D13"/>
  <c r="F13"/>
  <c r="H12" i="10" s="1"/>
  <c r="BU12" s="1"/>
  <c r="E9" i="7"/>
  <c r="C29" i="8"/>
  <c r="C34"/>
  <c r="E13" i="9"/>
  <c r="G13"/>
  <c r="A17"/>
  <c r="B16"/>
  <c r="A13" i="10"/>
  <c r="BV12"/>
  <c r="J8" i="7"/>
  <c r="I13"/>
  <c r="A11"/>
  <c r="O10"/>
  <c r="F10"/>
  <c r="K34" i="8"/>
  <c r="K35"/>
  <c r="K33"/>
  <c r="K32"/>
  <c r="K30"/>
  <c r="K28"/>
  <c r="K26"/>
  <c r="K24"/>
  <c r="K22"/>
  <c r="K20"/>
  <c r="K18"/>
  <c r="K16"/>
  <c r="K14"/>
  <c r="K12"/>
  <c r="K10"/>
  <c r="K8"/>
  <c r="K6"/>
  <c r="AO6" s="1"/>
  <c r="AQ5"/>
  <c r="AM5"/>
  <c r="AI5"/>
  <c r="AE5"/>
  <c r="AA5"/>
  <c r="W5"/>
  <c r="S5"/>
  <c r="O5"/>
  <c r="AL5"/>
  <c r="AG5"/>
  <c r="AB5"/>
  <c r="V5"/>
  <c r="Q5"/>
  <c r="T5"/>
  <c r="Z5"/>
  <c r="AH5"/>
  <c r="AO5"/>
  <c r="AH6"/>
  <c r="C7"/>
  <c r="D7" s="1"/>
  <c r="E7" s="1"/>
  <c r="K7"/>
  <c r="C9"/>
  <c r="D9" s="1"/>
  <c r="E9" s="1"/>
  <c r="K9"/>
  <c r="C11"/>
  <c r="K11"/>
  <c r="C13"/>
  <c r="K13"/>
  <c r="C15"/>
  <c r="K15"/>
  <c r="C17"/>
  <c r="K17"/>
  <c r="C19"/>
  <c r="K19"/>
  <c r="C21"/>
  <c r="K21"/>
  <c r="C23"/>
  <c r="K23"/>
  <c r="C25"/>
  <c r="K25"/>
  <c r="C27"/>
  <c r="K27"/>
  <c r="C33"/>
  <c r="C35"/>
  <c r="Q12" i="9"/>
  <c r="E12" i="10"/>
  <c r="C12"/>
  <c r="D12" s="1"/>
  <c r="G12" s="1"/>
  <c r="M8" i="7"/>
  <c r="N5" i="8"/>
  <c r="U5"/>
  <c r="AC5"/>
  <c r="AJ5"/>
  <c r="AP5"/>
  <c r="F6"/>
  <c r="N6"/>
  <c r="T6"/>
  <c r="F8"/>
  <c r="K31"/>
  <c r="B14" i="9"/>
  <c r="G14" s="1"/>
  <c r="G16"/>
  <c r="C13" i="10"/>
  <c r="D13" s="1"/>
  <c r="C16"/>
  <c r="C20"/>
  <c r="C24"/>
  <c r="C39"/>
  <c r="D39" i="11"/>
  <c r="C22"/>
  <c r="C42"/>
  <c r="C25" s="1"/>
  <c r="C41"/>
  <c r="C24" s="1"/>
  <c r="C31" i="12"/>
  <c r="B33"/>
  <c r="D41" i="11"/>
  <c r="D24" s="1"/>
  <c r="D15"/>
  <c r="D16"/>
  <c r="D38"/>
  <c r="G12" i="9"/>
  <c r="Q11"/>
  <c r="F12"/>
  <c r="AO43" i="10"/>
  <c r="AK43"/>
  <c r="AG43"/>
  <c r="AC43"/>
  <c r="Y43"/>
  <c r="AN42"/>
  <c r="AJ42"/>
  <c r="AF42"/>
  <c r="AB42"/>
  <c r="X42"/>
  <c r="AL43"/>
  <c r="AF43"/>
  <c r="AA43"/>
  <c r="V43"/>
  <c r="AK42"/>
  <c r="AE42"/>
  <c r="Z42"/>
  <c r="AN43"/>
  <c r="AH43"/>
  <c r="Z43"/>
  <c r="AI42"/>
  <c r="AC42"/>
  <c r="V42"/>
  <c r="L8"/>
  <c r="AM43"/>
  <c r="AD43"/>
  <c r="AO42"/>
  <c r="AG42"/>
  <c r="W42"/>
  <c r="AJ43"/>
  <c r="AB43"/>
  <c r="AM42"/>
  <c r="AD42"/>
  <c r="C19"/>
  <c r="C23"/>
  <c r="C27"/>
  <c r="C29"/>
  <c r="C33"/>
  <c r="C37"/>
  <c r="Y42"/>
  <c r="AE43"/>
  <c r="E31" i="11"/>
  <c r="D13"/>
  <c r="G15" i="9"/>
  <c r="C28" i="10"/>
  <c r="C32"/>
  <c r="C36"/>
  <c r="D30" i="11"/>
  <c r="C12"/>
  <c r="D30" i="12"/>
  <c r="C12"/>
  <c r="F9" i="7"/>
  <c r="O9"/>
  <c r="B15" i="9"/>
  <c r="C40" i="11"/>
  <c r="C21"/>
  <c r="B38"/>
  <c r="B41"/>
  <c r="B24" s="1"/>
  <c r="F4"/>
  <c r="B42"/>
  <c r="B25" s="1"/>
  <c r="K37"/>
  <c r="K20" s="1"/>
  <c r="B42" i="12"/>
  <c r="B25" s="1"/>
  <c r="C39"/>
  <c r="G8" i="16" l="1"/>
  <c r="E9"/>
  <c r="E10"/>
  <c r="G9"/>
  <c r="D10"/>
  <c r="E8"/>
  <c r="G7"/>
  <c r="E30" i="12"/>
  <c r="D12"/>
  <c r="D21" i="11"/>
  <c r="D40"/>
  <c r="O11" i="7"/>
  <c r="R11" s="1"/>
  <c r="F11"/>
  <c r="N11"/>
  <c r="M11"/>
  <c r="P11" s="1"/>
  <c r="BV13" i="10"/>
  <c r="A14"/>
  <c r="AE6" i="8"/>
  <c r="AD6"/>
  <c r="V6"/>
  <c r="AQ6"/>
  <c r="AC6"/>
  <c r="AQ7"/>
  <c r="AM7"/>
  <c r="AI7"/>
  <c r="AE7"/>
  <c r="AA7"/>
  <c r="W7"/>
  <c r="S7"/>
  <c r="O7"/>
  <c r="AL7"/>
  <c r="AG7"/>
  <c r="AB7"/>
  <c r="V7"/>
  <c r="Q7"/>
  <c r="AP7"/>
  <c r="AJ7"/>
  <c r="AC7"/>
  <c r="U7"/>
  <c r="N7"/>
  <c r="AO7"/>
  <c r="AH7"/>
  <c r="Z7"/>
  <c r="T7"/>
  <c r="AN7"/>
  <c r="AF7"/>
  <c r="Y7"/>
  <c r="R7"/>
  <c r="A8"/>
  <c r="AK7"/>
  <c r="AD7"/>
  <c r="X7"/>
  <c r="P7"/>
  <c r="D10"/>
  <c r="B40" i="11"/>
  <c r="B21"/>
  <c r="R9" i="7"/>
  <c r="F15" i="9"/>
  <c r="H14" i="10" s="1"/>
  <c r="M8"/>
  <c r="L14"/>
  <c r="AP14" s="1"/>
  <c r="L13"/>
  <c r="AP13" s="1"/>
  <c r="H11"/>
  <c r="AP6" i="8"/>
  <c r="B14" i="7"/>
  <c r="C14" s="1"/>
  <c r="Z6" i="8"/>
  <c r="G5" i="7"/>
  <c r="I12" i="10"/>
  <c r="J12" s="1"/>
  <c r="L12" s="1"/>
  <c r="AP12" s="1"/>
  <c r="C14" i="9"/>
  <c r="D14" s="1"/>
  <c r="E14" s="1"/>
  <c r="X6" i="8"/>
  <c r="O13" i="7"/>
  <c r="W6" i="8"/>
  <c r="AA6"/>
  <c r="Q6"/>
  <c r="AG6"/>
  <c r="F14" i="9"/>
  <c r="H13" i="10" s="1"/>
  <c r="D12" i="11"/>
  <c r="E30"/>
  <c r="E33"/>
  <c r="E13"/>
  <c r="F31"/>
  <c r="B38" i="12"/>
  <c r="B16"/>
  <c r="B15"/>
  <c r="F4"/>
  <c r="B41"/>
  <c r="B24" s="1"/>
  <c r="D14" i="10"/>
  <c r="E14"/>
  <c r="G13"/>
  <c r="AI6" i="8"/>
  <c r="S6"/>
  <c r="F16" i="9"/>
  <c r="H15" i="10" s="1"/>
  <c r="R6" i="8"/>
  <c r="O6"/>
  <c r="AF6"/>
  <c r="U6"/>
  <c r="AK6"/>
  <c r="D39" i="12"/>
  <c r="C22"/>
  <c r="C42"/>
  <c r="C25" s="1"/>
  <c r="G4" i="11"/>
  <c r="I3"/>
  <c r="A44"/>
  <c r="C44"/>
  <c r="C23"/>
  <c r="R13" i="9"/>
  <c r="C13" i="12"/>
  <c r="C33"/>
  <c r="D31"/>
  <c r="D22" i="11"/>
  <c r="D42"/>
  <c r="D25" s="1"/>
  <c r="E39"/>
  <c r="E13" i="10"/>
  <c r="F10" i="8"/>
  <c r="AB6"/>
  <c r="L44" i="10"/>
  <c r="AN6" i="8"/>
  <c r="R10" i="7"/>
  <c r="F17" i="9"/>
  <c r="H16" i="10" s="1"/>
  <c r="BU16" s="1"/>
  <c r="A18" i="9"/>
  <c r="B17"/>
  <c r="G17"/>
  <c r="AM6" i="8"/>
  <c r="AJ6"/>
  <c r="P6"/>
  <c r="AL6"/>
  <c r="Y6"/>
  <c r="F9"/>
  <c r="G14" i="7"/>
  <c r="E11"/>
  <c r="G10" i="16" l="1"/>
  <c r="E11"/>
  <c r="D11"/>
  <c r="I13" i="10"/>
  <c r="C15" i="9"/>
  <c r="M44" i="10"/>
  <c r="E31" i="12"/>
  <c r="D33"/>
  <c r="D13"/>
  <c r="BU15" i="10"/>
  <c r="G14"/>
  <c r="E15"/>
  <c r="D15"/>
  <c r="F33" i="11"/>
  <c r="G31"/>
  <c r="F13"/>
  <c r="BT11" i="10"/>
  <c r="L11"/>
  <c r="BU14"/>
  <c r="E10" i="8"/>
  <c r="F11"/>
  <c r="F39" i="11"/>
  <c r="E22"/>
  <c r="E42"/>
  <c r="E25" s="1"/>
  <c r="C38" i="12"/>
  <c r="C15"/>
  <c r="C41"/>
  <c r="C24" s="1"/>
  <c r="C16"/>
  <c r="D42"/>
  <c r="D25" s="1"/>
  <c r="D22"/>
  <c r="E39"/>
  <c r="F30" i="11"/>
  <c r="E12"/>
  <c r="J10" i="7"/>
  <c r="J9"/>
  <c r="B16"/>
  <c r="C16" s="1"/>
  <c r="A9" i="8"/>
  <c r="AO8"/>
  <c r="AK8"/>
  <c r="AG8"/>
  <c r="AC8"/>
  <c r="Y8"/>
  <c r="U8"/>
  <c r="Q8"/>
  <c r="AQ8"/>
  <c r="AL8"/>
  <c r="AF8"/>
  <c r="AA8"/>
  <c r="V8"/>
  <c r="P8"/>
  <c r="AP8"/>
  <c r="AI8"/>
  <c r="AB8"/>
  <c r="T8"/>
  <c r="N8"/>
  <c r="AN8"/>
  <c r="AH8"/>
  <c r="Z8"/>
  <c r="S8"/>
  <c r="AM8"/>
  <c r="AE8"/>
  <c r="X8"/>
  <c r="R8"/>
  <c r="AJ8"/>
  <c r="AD8"/>
  <c r="W8"/>
  <c r="O8"/>
  <c r="E12" i="12"/>
  <c r="F30"/>
  <c r="B18" i="9"/>
  <c r="G18" s="1"/>
  <c r="F18"/>
  <c r="H17" i="10" s="1"/>
  <c r="BU17" s="1"/>
  <c r="A19" i="9"/>
  <c r="B40" i="12"/>
  <c r="B21"/>
  <c r="E38" i="11"/>
  <c r="E16"/>
  <c r="E15"/>
  <c r="E41"/>
  <c r="E24" s="1"/>
  <c r="Q11" i="7"/>
  <c r="J11" s="1"/>
  <c r="B15"/>
  <c r="C15" s="1"/>
  <c r="A17" s="1"/>
  <c r="B19" s="1"/>
  <c r="N13"/>
  <c r="D23" i="11"/>
  <c r="D44"/>
  <c r="D11" i="8"/>
  <c r="N44" i="10"/>
  <c r="G4" i="12"/>
  <c r="A44"/>
  <c r="I3"/>
  <c r="Q13" i="9"/>
  <c r="BU13" i="10"/>
  <c r="J13"/>
  <c r="M13" s="1"/>
  <c r="AQ13" s="1"/>
  <c r="M13" i="7"/>
  <c r="M12" i="10"/>
  <c r="AQ12" s="1"/>
  <c r="M14"/>
  <c r="AQ14" s="1"/>
  <c r="M11"/>
  <c r="N8"/>
  <c r="B44" i="11"/>
  <c r="B23"/>
  <c r="A15" i="10"/>
  <c r="BV14"/>
  <c r="E12" i="16" l="1"/>
  <c r="G11"/>
  <c r="D12"/>
  <c r="N13" i="10"/>
  <c r="AR13" s="1"/>
  <c r="N16"/>
  <c r="AR16" s="1"/>
  <c r="O8"/>
  <c r="N15"/>
  <c r="AR15" s="1"/>
  <c r="N12"/>
  <c r="AR12" s="1"/>
  <c r="N11"/>
  <c r="B44" i="12"/>
  <c r="B23"/>
  <c r="B19" i="9"/>
  <c r="G19" s="1"/>
  <c r="A20"/>
  <c r="F19"/>
  <c r="H18" i="10" s="1"/>
  <c r="BU18" s="1"/>
  <c r="AQ9" i="8"/>
  <c r="AM9"/>
  <c r="AI9"/>
  <c r="AE9"/>
  <c r="AA9"/>
  <c r="W9"/>
  <c r="S9"/>
  <c r="O9"/>
  <c r="AL9"/>
  <c r="AG9"/>
  <c r="AB9"/>
  <c r="V9"/>
  <c r="Q9"/>
  <c r="AP9"/>
  <c r="AJ9"/>
  <c r="AC9"/>
  <c r="U9"/>
  <c r="N9"/>
  <c r="AO9"/>
  <c r="AH9"/>
  <c r="Z9"/>
  <c r="T9"/>
  <c r="AN9"/>
  <c r="AF9"/>
  <c r="Y9"/>
  <c r="R9"/>
  <c r="A10"/>
  <c r="AK9"/>
  <c r="AD9"/>
  <c r="X9"/>
  <c r="P9"/>
  <c r="C21" i="12"/>
  <c r="C40"/>
  <c r="O44" i="10"/>
  <c r="D15" i="9"/>
  <c r="E15" s="1"/>
  <c r="Q14"/>
  <c r="R14"/>
  <c r="BV15" i="10"/>
  <c r="A16"/>
  <c r="L15"/>
  <c r="AP15" s="1"/>
  <c r="E21" i="11"/>
  <c r="E40"/>
  <c r="G30"/>
  <c r="F12"/>
  <c r="H31"/>
  <c r="G13"/>
  <c r="G33"/>
  <c r="E11" i="8"/>
  <c r="D12"/>
  <c r="F12"/>
  <c r="A18" i="7"/>
  <c r="E42" i="12"/>
  <c r="E25" s="1"/>
  <c r="E22"/>
  <c r="F39"/>
  <c r="F38" i="11"/>
  <c r="F41"/>
  <c r="F24" s="1"/>
  <c r="F16"/>
  <c r="F15"/>
  <c r="D41" i="12"/>
  <c r="D24" s="1"/>
  <c r="D38"/>
  <c r="D16"/>
  <c r="D15"/>
  <c r="M15" i="10"/>
  <c r="AQ15" s="1"/>
  <c r="F12" i="12"/>
  <c r="G30"/>
  <c r="B5" i="7"/>
  <c r="B6" s="1"/>
  <c r="F42" i="11"/>
  <c r="F25" s="1"/>
  <c r="G39"/>
  <c r="F22"/>
  <c r="G15" i="10"/>
  <c r="E16"/>
  <c r="D16"/>
  <c r="E33" i="12"/>
  <c r="F31"/>
  <c r="E13"/>
  <c r="G12" i="16" l="1"/>
  <c r="E13"/>
  <c r="D13"/>
  <c r="P44" i="10"/>
  <c r="F42" i="12"/>
  <c r="F25" s="1"/>
  <c r="F22"/>
  <c r="G39"/>
  <c r="G41" i="11"/>
  <c r="G24" s="1"/>
  <c r="G16"/>
  <c r="G38"/>
  <c r="G15"/>
  <c r="E44"/>
  <c r="E23"/>
  <c r="C44" i="12"/>
  <c r="C23"/>
  <c r="F13"/>
  <c r="G31"/>
  <c r="F33"/>
  <c r="H30"/>
  <c r="G12"/>
  <c r="D40"/>
  <c r="D21"/>
  <c r="H30" i="11"/>
  <c r="G12"/>
  <c r="A21" i="9"/>
  <c r="F20"/>
  <c r="B20"/>
  <c r="G20"/>
  <c r="E15" i="12"/>
  <c r="E41"/>
  <c r="E24" s="1"/>
  <c r="E38"/>
  <c r="E16"/>
  <c r="F40" i="11"/>
  <c r="F21"/>
  <c r="E12" i="8"/>
  <c r="F13"/>
  <c r="D13"/>
  <c r="H33" i="11"/>
  <c r="H13"/>
  <c r="BV16" i="10"/>
  <c r="A17"/>
  <c r="L16"/>
  <c r="AP16" s="1"/>
  <c r="M16"/>
  <c r="I14"/>
  <c r="J14" s="1"/>
  <c r="N14" s="1"/>
  <c r="AR14" s="1"/>
  <c r="C16" i="9"/>
  <c r="A11" i="8"/>
  <c r="AO10"/>
  <c r="AK10"/>
  <c r="AG10"/>
  <c r="AC10"/>
  <c r="Y10"/>
  <c r="U10"/>
  <c r="Q10"/>
  <c r="AQ10"/>
  <c r="AL10"/>
  <c r="AF10"/>
  <c r="AA10"/>
  <c r="V10"/>
  <c r="P10"/>
  <c r="AP10"/>
  <c r="AI10"/>
  <c r="AB10"/>
  <c r="T10"/>
  <c r="N10"/>
  <c r="AN10"/>
  <c r="AH10"/>
  <c r="Z10"/>
  <c r="S10"/>
  <c r="AM10"/>
  <c r="AE10"/>
  <c r="X10"/>
  <c r="R10"/>
  <c r="AJ10"/>
  <c r="AD10"/>
  <c r="W10"/>
  <c r="O10"/>
  <c r="G16" i="10"/>
  <c r="E17"/>
  <c r="D17"/>
  <c r="H39" i="11"/>
  <c r="G22"/>
  <c r="G42"/>
  <c r="G25" s="1"/>
  <c r="O16" i="10"/>
  <c r="AS16" s="1"/>
  <c r="O14"/>
  <c r="AS14" s="1"/>
  <c r="P8"/>
  <c r="O13"/>
  <c r="AS13" s="1"/>
  <c r="O12"/>
  <c r="AS12" s="1"/>
  <c r="O11"/>
  <c r="E14" i="16" l="1"/>
  <c r="G13"/>
  <c r="D14"/>
  <c r="G17" i="10"/>
  <c r="D18"/>
  <c r="E18"/>
  <c r="AQ16"/>
  <c r="H19"/>
  <c r="I30" i="12"/>
  <c r="H12"/>
  <c r="Q44" i="10"/>
  <c r="E21" i="12"/>
  <c r="E40"/>
  <c r="B21" i="9"/>
  <c r="F21" s="1"/>
  <c r="A22"/>
  <c r="F38" i="12"/>
  <c r="F16"/>
  <c r="F41"/>
  <c r="F24" s="1"/>
  <c r="F15"/>
  <c r="R15" i="9"/>
  <c r="D16"/>
  <c r="E16" s="1"/>
  <c r="Q15"/>
  <c r="A18" i="10"/>
  <c r="BV17"/>
  <c r="L17"/>
  <c r="M17"/>
  <c r="AQ17" s="1"/>
  <c r="N17"/>
  <c r="H41" i="11"/>
  <c r="H24" s="1"/>
  <c r="H15"/>
  <c r="H38"/>
  <c r="H16"/>
  <c r="H12"/>
  <c r="I30"/>
  <c r="D23" i="12"/>
  <c r="D44"/>
  <c r="G13"/>
  <c r="G33"/>
  <c r="H31"/>
  <c r="H39"/>
  <c r="G22"/>
  <c r="G42"/>
  <c r="G25" s="1"/>
  <c r="P11" i="10"/>
  <c r="P13"/>
  <c r="AT13" s="1"/>
  <c r="P12"/>
  <c r="AT12" s="1"/>
  <c r="Q8"/>
  <c r="P15"/>
  <c r="AT15" s="1"/>
  <c r="P14"/>
  <c r="AT14" s="1"/>
  <c r="P17"/>
  <c r="AT17" s="1"/>
  <c r="O17"/>
  <c r="AS17" s="1"/>
  <c r="H42" i="11"/>
  <c r="H25" s="1"/>
  <c r="I39"/>
  <c r="H22"/>
  <c r="AQ11" i="8"/>
  <c r="AM11"/>
  <c r="AI11"/>
  <c r="AE11"/>
  <c r="AA11"/>
  <c r="W11"/>
  <c r="S11"/>
  <c r="O11"/>
  <c r="AL11"/>
  <c r="AG11"/>
  <c r="AB11"/>
  <c r="V11"/>
  <c r="Q11"/>
  <c r="AP11"/>
  <c r="AJ11"/>
  <c r="AC11"/>
  <c r="U11"/>
  <c r="N11"/>
  <c r="AO11"/>
  <c r="AH11"/>
  <c r="Z11"/>
  <c r="T11"/>
  <c r="AN11"/>
  <c r="AF11"/>
  <c r="Y11"/>
  <c r="R11"/>
  <c r="A12"/>
  <c r="AK11"/>
  <c r="AD11"/>
  <c r="X11"/>
  <c r="P11"/>
  <c r="E13"/>
  <c r="D14"/>
  <c r="F14"/>
  <c r="F44" i="11"/>
  <c r="F23"/>
  <c r="G40"/>
  <c r="G21"/>
  <c r="G14" i="16" l="1"/>
  <c r="E15"/>
  <c r="D15"/>
  <c r="H20" i="10"/>
  <c r="I22" i="11"/>
  <c r="I42"/>
  <c r="I25" s="1"/>
  <c r="J39"/>
  <c r="BU19" i="10"/>
  <c r="G44" i="11"/>
  <c r="G23"/>
  <c r="E14" i="8"/>
  <c r="F15"/>
  <c r="D15"/>
  <c r="A13"/>
  <c r="AO12"/>
  <c r="AK12"/>
  <c r="AG12"/>
  <c r="AC12"/>
  <c r="Y12"/>
  <c r="U12"/>
  <c r="Q12"/>
  <c r="AQ12"/>
  <c r="AL12"/>
  <c r="AF12"/>
  <c r="AA12"/>
  <c r="V12"/>
  <c r="P12"/>
  <c r="AP12"/>
  <c r="AI12"/>
  <c r="AB12"/>
  <c r="T12"/>
  <c r="N12"/>
  <c r="AN12"/>
  <c r="AH12"/>
  <c r="Z12"/>
  <c r="S12"/>
  <c r="AM12"/>
  <c r="AE12"/>
  <c r="X12"/>
  <c r="R12"/>
  <c r="AJ12"/>
  <c r="AD12"/>
  <c r="W12"/>
  <c r="O12"/>
  <c r="Q12" i="10"/>
  <c r="AU12" s="1"/>
  <c r="Q19"/>
  <c r="AU19" s="1"/>
  <c r="Q15"/>
  <c r="AU15" s="1"/>
  <c r="Q11"/>
  <c r="Q18"/>
  <c r="AU18" s="1"/>
  <c r="Q13"/>
  <c r="AU13" s="1"/>
  <c r="R8"/>
  <c r="Q16"/>
  <c r="AU16" s="1"/>
  <c r="Q14"/>
  <c r="AU14" s="1"/>
  <c r="I39" i="12"/>
  <c r="H22"/>
  <c r="H42"/>
  <c r="H25" s="1"/>
  <c r="AR17" i="10"/>
  <c r="A19"/>
  <c r="BV18"/>
  <c r="L18"/>
  <c r="AP18" s="1"/>
  <c r="M18"/>
  <c r="AQ18" s="1"/>
  <c r="N18"/>
  <c r="AR18" s="1"/>
  <c r="O18"/>
  <c r="AS18" s="1"/>
  <c r="F40" i="12"/>
  <c r="F21"/>
  <c r="G21" i="9"/>
  <c r="E44" i="12"/>
  <c r="E23"/>
  <c r="R44" i="10"/>
  <c r="P18"/>
  <c r="AT18" s="1"/>
  <c r="H33" i="12"/>
  <c r="H13"/>
  <c r="H21" i="11"/>
  <c r="H40"/>
  <c r="B22" i="9"/>
  <c r="A23"/>
  <c r="I31" i="12"/>
  <c r="I12"/>
  <c r="J30"/>
  <c r="G18" i="10"/>
  <c r="E19"/>
  <c r="D19"/>
  <c r="G16" i="12"/>
  <c r="G15"/>
  <c r="G38"/>
  <c r="G41"/>
  <c r="G24" s="1"/>
  <c r="I31" i="11"/>
  <c r="I12"/>
  <c r="J30"/>
  <c r="AP17" i="10"/>
  <c r="I15"/>
  <c r="J15" s="1"/>
  <c r="O15" s="1"/>
  <c r="C17" i="9"/>
  <c r="E16" i="16" l="1"/>
  <c r="G15"/>
  <c r="D16"/>
  <c r="I32" i="11"/>
  <c r="I14" s="1"/>
  <c r="I13"/>
  <c r="J31"/>
  <c r="J12" i="12"/>
  <c r="K30"/>
  <c r="G23" i="9"/>
  <c r="Q22"/>
  <c r="A24"/>
  <c r="B23"/>
  <c r="J22" i="10"/>
  <c r="F23" i="9"/>
  <c r="H22" i="10" s="1"/>
  <c r="BU22" s="1"/>
  <c r="H23" i="11"/>
  <c r="H44"/>
  <c r="J42"/>
  <c r="J25" s="1"/>
  <c r="K39"/>
  <c r="K22" s="1"/>
  <c r="J22"/>
  <c r="D17" i="9"/>
  <c r="E17" s="1"/>
  <c r="Q16"/>
  <c r="R16"/>
  <c r="G19" i="10"/>
  <c r="E20"/>
  <c r="D20"/>
  <c r="F23" i="12"/>
  <c r="F44"/>
  <c r="I42"/>
  <c r="I25" s="1"/>
  <c r="J39"/>
  <c r="I22"/>
  <c r="R13" i="10"/>
  <c r="AV13" s="1"/>
  <c r="R17"/>
  <c r="AV17" s="1"/>
  <c r="R14"/>
  <c r="AV14" s="1"/>
  <c r="R12"/>
  <c r="AV12" s="1"/>
  <c r="R11"/>
  <c r="R19"/>
  <c r="AV19" s="1"/>
  <c r="R15"/>
  <c r="AV15" s="1"/>
  <c r="S8"/>
  <c r="R16"/>
  <c r="AV16" s="1"/>
  <c r="AQ13" i="8"/>
  <c r="AM13"/>
  <c r="AI13"/>
  <c r="AE13"/>
  <c r="AA13"/>
  <c r="W13"/>
  <c r="S13"/>
  <c r="O13"/>
  <c r="AL13"/>
  <c r="AG13"/>
  <c r="AB13"/>
  <c r="V13"/>
  <c r="Q13"/>
  <c r="AP13"/>
  <c r="AJ13"/>
  <c r="AC13"/>
  <c r="U13"/>
  <c r="N13"/>
  <c r="AO13"/>
  <c r="AH13"/>
  <c r="Z13"/>
  <c r="T13"/>
  <c r="AN13"/>
  <c r="AF13"/>
  <c r="Y13"/>
  <c r="R13"/>
  <c r="A14"/>
  <c r="AK13"/>
  <c r="AD13"/>
  <c r="X13"/>
  <c r="P13"/>
  <c r="J12" i="11"/>
  <c r="K30"/>
  <c r="G21" i="12"/>
  <c r="G40"/>
  <c r="S44" i="10"/>
  <c r="I32" i="12"/>
  <c r="I14" s="1"/>
  <c r="J31"/>
  <c r="I13"/>
  <c r="G22" i="9"/>
  <c r="E15" i="8"/>
  <c r="D16"/>
  <c r="F16"/>
  <c r="AS15" i="10"/>
  <c r="H41" i="12"/>
  <c r="H24" s="1"/>
  <c r="H38"/>
  <c r="H15"/>
  <c r="H16"/>
  <c r="BV19" i="10"/>
  <c r="A20"/>
  <c r="L19"/>
  <c r="AP19" s="1"/>
  <c r="M19"/>
  <c r="AQ19" s="1"/>
  <c r="N19"/>
  <c r="O19"/>
  <c r="AS19" s="1"/>
  <c r="P19"/>
  <c r="AT19" s="1"/>
  <c r="BU20"/>
  <c r="G16" i="16" l="1"/>
  <c r="E17"/>
  <c r="D17"/>
  <c r="J33" i="12"/>
  <c r="J13"/>
  <c r="K31"/>
  <c r="L30" i="11"/>
  <c r="L12" s="1"/>
  <c r="K12"/>
  <c r="K42"/>
  <c r="K25" s="1"/>
  <c r="G20" i="10"/>
  <c r="E21"/>
  <c r="D21"/>
  <c r="BV20"/>
  <c r="A21"/>
  <c r="L20"/>
  <c r="AP20" s="1"/>
  <c r="M20"/>
  <c r="AQ20" s="1"/>
  <c r="N20"/>
  <c r="AR20" s="1"/>
  <c r="O20"/>
  <c r="AS20" s="1"/>
  <c r="P20"/>
  <c r="AT20" s="1"/>
  <c r="Q20"/>
  <c r="AU20" s="1"/>
  <c r="H21" i="12"/>
  <c r="H40"/>
  <c r="S21" i="10"/>
  <c r="AW21" s="1"/>
  <c r="S20"/>
  <c r="AW20" s="1"/>
  <c r="S18"/>
  <c r="AW18" s="1"/>
  <c r="S17"/>
  <c r="AW17" s="1"/>
  <c r="S16"/>
  <c r="AW16" s="1"/>
  <c r="S15"/>
  <c r="AW15" s="1"/>
  <c r="S14"/>
  <c r="AW14" s="1"/>
  <c r="T8"/>
  <c r="S13"/>
  <c r="AW13" s="1"/>
  <c r="S12"/>
  <c r="AW12" s="1"/>
  <c r="S11"/>
  <c r="T44"/>
  <c r="I16"/>
  <c r="J16" s="1"/>
  <c r="P16" s="1"/>
  <c r="C18" i="9"/>
  <c r="A25"/>
  <c r="F24"/>
  <c r="H23" i="10" s="1"/>
  <c r="BU23" s="1"/>
  <c r="B24" i="9"/>
  <c r="G24" s="1"/>
  <c r="J23" i="10"/>
  <c r="Q23" i="9"/>
  <c r="L30" i="12"/>
  <c r="L12" s="1"/>
  <c r="K12"/>
  <c r="K42"/>
  <c r="K25" s="1"/>
  <c r="AR19" i="10"/>
  <c r="E16" i="8"/>
  <c r="F17"/>
  <c r="D17"/>
  <c r="I33" i="12"/>
  <c r="G44"/>
  <c r="G23"/>
  <c r="A15" i="8"/>
  <c r="AO14"/>
  <c r="AK14"/>
  <c r="AG14"/>
  <c r="AC14"/>
  <c r="Y14"/>
  <c r="U14"/>
  <c r="Q14"/>
  <c r="AQ14"/>
  <c r="AL14"/>
  <c r="AF14"/>
  <c r="AA14"/>
  <c r="V14"/>
  <c r="P14"/>
  <c r="AP14"/>
  <c r="AI14"/>
  <c r="AB14"/>
  <c r="T14"/>
  <c r="N14"/>
  <c r="AN14"/>
  <c r="AH14"/>
  <c r="Z14"/>
  <c r="S14"/>
  <c r="AM14"/>
  <c r="AE14"/>
  <c r="X14"/>
  <c r="R14"/>
  <c r="AJ14"/>
  <c r="AD14"/>
  <c r="W14"/>
  <c r="O14"/>
  <c r="I33" i="11"/>
  <c r="R20" i="10"/>
  <c r="AV20" s="1"/>
  <c r="J42" i="12"/>
  <c r="J25" s="1"/>
  <c r="K39"/>
  <c r="K22" s="1"/>
  <c r="J22"/>
  <c r="J13" i="11"/>
  <c r="J33"/>
  <c r="K31"/>
  <c r="E18" i="16" l="1"/>
  <c r="G17"/>
  <c r="D18"/>
  <c r="K13" i="12"/>
  <c r="L31"/>
  <c r="K33"/>
  <c r="AT16" i="10"/>
  <c r="T11"/>
  <c r="T21"/>
  <c r="AX21" s="1"/>
  <c r="T17"/>
  <c r="AX17" s="1"/>
  <c r="T14"/>
  <c r="AX14" s="1"/>
  <c r="T16"/>
  <c r="AX16" s="1"/>
  <c r="T13"/>
  <c r="AX13" s="1"/>
  <c r="T12"/>
  <c r="AX12" s="1"/>
  <c r="U8"/>
  <c r="T19"/>
  <c r="AX19" s="1"/>
  <c r="T15"/>
  <c r="AX15" s="1"/>
  <c r="T18"/>
  <c r="AX18" s="1"/>
  <c r="G21"/>
  <c r="D22"/>
  <c r="E22"/>
  <c r="K33" i="11"/>
  <c r="L31"/>
  <c r="K13"/>
  <c r="I16"/>
  <c r="I38"/>
  <c r="I15"/>
  <c r="I41"/>
  <c r="I24" s="1"/>
  <c r="I15" i="12"/>
  <c r="I41"/>
  <c r="I24" s="1"/>
  <c r="I16"/>
  <c r="I38"/>
  <c r="J24" i="10"/>
  <c r="B25" i="9"/>
  <c r="G25" s="1"/>
  <c r="Q24"/>
  <c r="A26"/>
  <c r="F25"/>
  <c r="H24" i="10" s="1"/>
  <c r="BU24" s="1"/>
  <c r="U44"/>
  <c r="J38" i="12"/>
  <c r="J16"/>
  <c r="J41"/>
  <c r="J24" s="1"/>
  <c r="J15"/>
  <c r="J38" i="11"/>
  <c r="J16"/>
  <c r="J15"/>
  <c r="J41"/>
  <c r="J24" s="1"/>
  <c r="AQ15" i="8"/>
  <c r="AM15"/>
  <c r="AI15"/>
  <c r="AE15"/>
  <c r="AA15"/>
  <c r="W15"/>
  <c r="S15"/>
  <c r="O15"/>
  <c r="AL15"/>
  <c r="AG15"/>
  <c r="AB15"/>
  <c r="V15"/>
  <c r="Q15"/>
  <c r="AP15"/>
  <c r="AJ15"/>
  <c r="AC15"/>
  <c r="U15"/>
  <c r="N15"/>
  <c r="AO15"/>
  <c r="AH15"/>
  <c r="Z15"/>
  <c r="T15"/>
  <c r="AN15"/>
  <c r="AF15"/>
  <c r="Y15"/>
  <c r="R15"/>
  <c r="A16"/>
  <c r="AK15"/>
  <c r="AD15"/>
  <c r="X15"/>
  <c r="P15"/>
  <c r="E17"/>
  <c r="F18"/>
  <c r="D18"/>
  <c r="D18" i="9"/>
  <c r="E18" s="1"/>
  <c r="Q17"/>
  <c r="R17"/>
  <c r="H23" i="12"/>
  <c r="H44"/>
  <c r="A22" i="10"/>
  <c r="BV21"/>
  <c r="L21"/>
  <c r="AP21" s="1"/>
  <c r="M21"/>
  <c r="AQ21" s="1"/>
  <c r="N21"/>
  <c r="AR21" s="1"/>
  <c r="O21"/>
  <c r="AS21" s="1"/>
  <c r="P21"/>
  <c r="AT21" s="1"/>
  <c r="Q21"/>
  <c r="AU21" s="1"/>
  <c r="R21"/>
  <c r="AV21" s="1"/>
  <c r="G18" i="16" l="1"/>
  <c r="E19"/>
  <c r="D19"/>
  <c r="E18" i="8"/>
  <c r="F19"/>
  <c r="D19"/>
  <c r="I21" i="12"/>
  <c r="I40"/>
  <c r="G22" i="10"/>
  <c r="E23"/>
  <c r="D23"/>
  <c r="K16" i="12"/>
  <c r="K15"/>
  <c r="K41"/>
  <c r="K24" s="1"/>
  <c r="L13" i="11"/>
  <c r="L33"/>
  <c r="L13" i="12"/>
  <c r="L33"/>
  <c r="A23" i="10"/>
  <c r="BV22"/>
  <c r="L22"/>
  <c r="AP22" s="1"/>
  <c r="M22"/>
  <c r="AQ22" s="1"/>
  <c r="N22"/>
  <c r="AR22" s="1"/>
  <c r="O22"/>
  <c r="AS22" s="1"/>
  <c r="P22"/>
  <c r="AT22" s="1"/>
  <c r="Q22"/>
  <c r="AU22" s="1"/>
  <c r="R22"/>
  <c r="AV22" s="1"/>
  <c r="S22"/>
  <c r="AW22" s="1"/>
  <c r="J40" i="11"/>
  <c r="J21"/>
  <c r="J40" i="12"/>
  <c r="J21"/>
  <c r="I21" i="11"/>
  <c r="I40"/>
  <c r="K15"/>
  <c r="K41"/>
  <c r="K24" s="1"/>
  <c r="K16"/>
  <c r="U12" i="10"/>
  <c r="AY12" s="1"/>
  <c r="U20"/>
  <c r="AY20" s="1"/>
  <c r="U16"/>
  <c r="AY16" s="1"/>
  <c r="U13"/>
  <c r="AY13" s="1"/>
  <c r="V8"/>
  <c r="U23"/>
  <c r="AY23" s="1"/>
  <c r="U19"/>
  <c r="AY19" s="1"/>
  <c r="U15"/>
  <c r="AY15" s="1"/>
  <c r="U11"/>
  <c r="U14"/>
  <c r="AY14" s="1"/>
  <c r="U17"/>
  <c r="AY17" s="1"/>
  <c r="U22"/>
  <c r="AY22" s="1"/>
  <c r="U18"/>
  <c r="AY18" s="1"/>
  <c r="I17"/>
  <c r="J17" s="1"/>
  <c r="Q17" s="1"/>
  <c r="C19" i="9"/>
  <c r="A17" i="8"/>
  <c r="AO16"/>
  <c r="AK16"/>
  <c r="AG16"/>
  <c r="AC16"/>
  <c r="Y16"/>
  <c r="U16"/>
  <c r="Q16"/>
  <c r="AQ16"/>
  <c r="AL16"/>
  <c r="AF16"/>
  <c r="AA16"/>
  <c r="V16"/>
  <c r="P16"/>
  <c r="AP16"/>
  <c r="AI16"/>
  <c r="AB16"/>
  <c r="T16"/>
  <c r="N16"/>
  <c r="AN16"/>
  <c r="AH16"/>
  <c r="Z16"/>
  <c r="S16"/>
  <c r="AM16"/>
  <c r="AE16"/>
  <c r="X16"/>
  <c r="R16"/>
  <c r="AJ16"/>
  <c r="AD16"/>
  <c r="W16"/>
  <c r="O16"/>
  <c r="A27" i="9"/>
  <c r="Q25"/>
  <c r="F26"/>
  <c r="H25" i="10" s="1"/>
  <c r="BU25" s="1"/>
  <c r="J25"/>
  <c r="B26" i="9"/>
  <c r="G26"/>
  <c r="V44" i="10"/>
  <c r="V45" s="1"/>
  <c r="T22"/>
  <c r="AX22" s="1"/>
  <c r="E20" i="16" l="1"/>
  <c r="G19"/>
  <c r="D20"/>
  <c r="AU17" i="10"/>
  <c r="V41"/>
  <c r="AZ41" s="1"/>
  <c r="V35"/>
  <c r="AZ35" s="1"/>
  <c r="V31"/>
  <c r="AZ31" s="1"/>
  <c r="V13"/>
  <c r="AZ13" s="1"/>
  <c r="V27"/>
  <c r="AZ27" s="1"/>
  <c r="V23"/>
  <c r="AZ23" s="1"/>
  <c r="V19"/>
  <c r="AZ19" s="1"/>
  <c r="V15"/>
  <c r="AZ15" s="1"/>
  <c r="V12"/>
  <c r="AZ12" s="1"/>
  <c r="V11"/>
  <c r="V40"/>
  <c r="AZ40" s="1"/>
  <c r="V26"/>
  <c r="AZ26" s="1"/>
  <c r="V22"/>
  <c r="AZ22" s="1"/>
  <c r="V18"/>
  <c r="AZ18" s="1"/>
  <c r="V36"/>
  <c r="AZ36" s="1"/>
  <c r="V32"/>
  <c r="AZ32" s="1"/>
  <c r="V28"/>
  <c r="AZ28" s="1"/>
  <c r="V24"/>
  <c r="AZ24" s="1"/>
  <c r="V20"/>
  <c r="AZ20" s="1"/>
  <c r="V16"/>
  <c r="AZ16" s="1"/>
  <c r="V38"/>
  <c r="AZ38" s="1"/>
  <c r="V34"/>
  <c r="AZ34" s="1"/>
  <c r="V30"/>
  <c r="AZ30" s="1"/>
  <c r="V25"/>
  <c r="AZ25" s="1"/>
  <c r="V21"/>
  <c r="AZ21" s="1"/>
  <c r="V17"/>
  <c r="AZ17" s="1"/>
  <c r="V39"/>
  <c r="AZ39" s="1"/>
  <c r="V33"/>
  <c r="AZ33" s="1"/>
  <c r="W8"/>
  <c r="V37"/>
  <c r="AZ37" s="1"/>
  <c r="V29"/>
  <c r="AZ29" s="1"/>
  <c r="V14"/>
  <c r="AZ14" s="1"/>
  <c r="J23" i="11"/>
  <c r="J44"/>
  <c r="G23" i="10"/>
  <c r="E24"/>
  <c r="D24"/>
  <c r="AQ17" i="8"/>
  <c r="AM17"/>
  <c r="AI17"/>
  <c r="AE17"/>
  <c r="AA17"/>
  <c r="W17"/>
  <c r="S17"/>
  <c r="O17"/>
  <c r="AL17"/>
  <c r="AG17"/>
  <c r="AB17"/>
  <c r="V17"/>
  <c r="Q17"/>
  <c r="AP17"/>
  <c r="AJ17"/>
  <c r="AC17"/>
  <c r="U17"/>
  <c r="N17"/>
  <c r="AO17"/>
  <c r="AH17"/>
  <c r="Z17"/>
  <c r="T17"/>
  <c r="AN17"/>
  <c r="AF17"/>
  <c r="Y17"/>
  <c r="R17"/>
  <c r="A18"/>
  <c r="AK17"/>
  <c r="AD17"/>
  <c r="X17"/>
  <c r="P17"/>
  <c r="K36" i="11"/>
  <c r="L15"/>
  <c r="L16"/>
  <c r="W44" i="10"/>
  <c r="W45" s="1"/>
  <c r="E19" i="8"/>
  <c r="D20"/>
  <c r="F20"/>
  <c r="J44" i="12"/>
  <c r="J23"/>
  <c r="BV23" i="10"/>
  <c r="A24"/>
  <c r="L23"/>
  <c r="AP23" s="1"/>
  <c r="M23"/>
  <c r="AQ23" s="1"/>
  <c r="N23"/>
  <c r="AR23" s="1"/>
  <c r="O23"/>
  <c r="AS23" s="1"/>
  <c r="P23"/>
  <c r="AT23" s="1"/>
  <c r="Q23"/>
  <c r="AU23" s="1"/>
  <c r="R23"/>
  <c r="AV23" s="1"/>
  <c r="S23"/>
  <c r="AW23" s="1"/>
  <c r="T23"/>
  <c r="AX23" s="1"/>
  <c r="Q26" i="9"/>
  <c r="F27"/>
  <c r="H26" i="10" s="1"/>
  <c r="BU26" s="1"/>
  <c r="A28" i="9"/>
  <c r="J26" i="10"/>
  <c r="B27" i="9"/>
  <c r="R18"/>
  <c r="Q18"/>
  <c r="D19"/>
  <c r="E19" s="1"/>
  <c r="I23" i="11"/>
  <c r="I44"/>
  <c r="L16" i="12"/>
  <c r="L15"/>
  <c r="K36"/>
  <c r="I44"/>
  <c r="I23"/>
  <c r="E21" i="16" l="1"/>
  <c r="G20"/>
  <c r="D21"/>
  <c r="K19" i="12"/>
  <c r="I5" s="1"/>
  <c r="K38"/>
  <c r="K19" i="11"/>
  <c r="I5" s="1"/>
  <c r="K38"/>
  <c r="A19" i="8"/>
  <c r="AO18"/>
  <c r="AK18"/>
  <c r="AG18"/>
  <c r="AC18"/>
  <c r="Y18"/>
  <c r="U18"/>
  <c r="Q18"/>
  <c r="AQ18"/>
  <c r="AL18"/>
  <c r="AF18"/>
  <c r="AA18"/>
  <c r="V18"/>
  <c r="P18"/>
  <c r="AP18"/>
  <c r="AI18"/>
  <c r="AB18"/>
  <c r="T18"/>
  <c r="N18"/>
  <c r="AN18"/>
  <c r="AH18"/>
  <c r="Z18"/>
  <c r="S18"/>
  <c r="AM18"/>
  <c r="AE18"/>
  <c r="X18"/>
  <c r="R18"/>
  <c r="AJ18"/>
  <c r="AD18"/>
  <c r="W18"/>
  <c r="O18"/>
  <c r="G24" i="10"/>
  <c r="E25"/>
  <c r="D25"/>
  <c r="W40"/>
  <c r="BA40" s="1"/>
  <c r="W38"/>
  <c r="BA38" s="1"/>
  <c r="W37"/>
  <c r="BA37" s="1"/>
  <c r="W36"/>
  <c r="BA36" s="1"/>
  <c r="W35"/>
  <c r="BA35" s="1"/>
  <c r="W34"/>
  <c r="BA34" s="1"/>
  <c r="W33"/>
  <c r="BA33" s="1"/>
  <c r="W32"/>
  <c r="BA32" s="1"/>
  <c r="W31"/>
  <c r="BA31" s="1"/>
  <c r="W30"/>
  <c r="BA30" s="1"/>
  <c r="W29"/>
  <c r="BA29" s="1"/>
  <c r="W28"/>
  <c r="BA28" s="1"/>
  <c r="W41"/>
  <c r="BA41" s="1"/>
  <c r="W27"/>
  <c r="BA27" s="1"/>
  <c r="W26"/>
  <c r="BA26" s="1"/>
  <c r="W25"/>
  <c r="BA25" s="1"/>
  <c r="W24"/>
  <c r="BA24" s="1"/>
  <c r="W23"/>
  <c r="BA23" s="1"/>
  <c r="W22"/>
  <c r="BA22" s="1"/>
  <c r="W21"/>
  <c r="BA21" s="1"/>
  <c r="W20"/>
  <c r="BA20" s="1"/>
  <c r="W19"/>
  <c r="BA19" s="1"/>
  <c r="W18"/>
  <c r="BA18" s="1"/>
  <c r="W17"/>
  <c r="BA17" s="1"/>
  <c r="W16"/>
  <c r="BA16" s="1"/>
  <c r="W15"/>
  <c r="BA15" s="1"/>
  <c r="W14"/>
  <c r="BA14" s="1"/>
  <c r="X8"/>
  <c r="W39"/>
  <c r="BA39" s="1"/>
  <c r="W12"/>
  <c r="BA12" s="1"/>
  <c r="W11"/>
  <c r="W13"/>
  <c r="BA13" s="1"/>
  <c r="I18"/>
  <c r="J18" s="1"/>
  <c r="R18" s="1"/>
  <c r="C20" i="9"/>
  <c r="A29"/>
  <c r="F28"/>
  <c r="H27" i="10" s="1"/>
  <c r="BU27" s="1"/>
  <c r="B28" i="9"/>
  <c r="G28" s="1"/>
  <c r="J27" i="10"/>
  <c r="Q27" i="9"/>
  <c r="G27"/>
  <c r="BV24" i="10"/>
  <c r="A25"/>
  <c r="L24"/>
  <c r="AP24" s="1"/>
  <c r="M24"/>
  <c r="AQ24" s="1"/>
  <c r="N24"/>
  <c r="AR24" s="1"/>
  <c r="O24"/>
  <c r="AS24" s="1"/>
  <c r="P24"/>
  <c r="AT24" s="1"/>
  <c r="Q24"/>
  <c r="R24"/>
  <c r="AV24" s="1"/>
  <c r="S24"/>
  <c r="AW24" s="1"/>
  <c r="T24"/>
  <c r="AX24" s="1"/>
  <c r="U24"/>
  <c r="AY24" s="1"/>
  <c r="X44"/>
  <c r="X45" s="1"/>
  <c r="E20" i="8"/>
  <c r="F21"/>
  <c r="D21"/>
  <c r="E22" i="16" l="1"/>
  <c r="G21"/>
  <c r="D22"/>
  <c r="E21" i="8"/>
  <c r="D22"/>
  <c r="F22"/>
  <c r="X39" i="10"/>
  <c r="BB39" s="1"/>
  <c r="X38"/>
  <c r="BB38" s="1"/>
  <c r="X34"/>
  <c r="BB34" s="1"/>
  <c r="X30"/>
  <c r="BB30" s="1"/>
  <c r="X11"/>
  <c r="X40"/>
  <c r="BB40" s="1"/>
  <c r="X35"/>
  <c r="BB35" s="1"/>
  <c r="X31"/>
  <c r="BB31" s="1"/>
  <c r="X26"/>
  <c r="BB26" s="1"/>
  <c r="X22"/>
  <c r="BB22" s="1"/>
  <c r="X18"/>
  <c r="BB18" s="1"/>
  <c r="X36"/>
  <c r="BB36" s="1"/>
  <c r="X32"/>
  <c r="BB32" s="1"/>
  <c r="X28"/>
  <c r="BB28" s="1"/>
  <c r="X25"/>
  <c r="BB25" s="1"/>
  <c r="X21"/>
  <c r="BB21" s="1"/>
  <c r="X17"/>
  <c r="BB17" s="1"/>
  <c r="X14"/>
  <c r="BB14" s="1"/>
  <c r="X27"/>
  <c r="BB27" s="1"/>
  <c r="X23"/>
  <c r="BB23" s="1"/>
  <c r="X19"/>
  <c r="BB19" s="1"/>
  <c r="X15"/>
  <c r="BB15" s="1"/>
  <c r="X33"/>
  <c r="BB33" s="1"/>
  <c r="Y8"/>
  <c r="X41"/>
  <c r="BB41" s="1"/>
  <c r="X37"/>
  <c r="BB37" s="1"/>
  <c r="X29"/>
  <c r="BB29" s="1"/>
  <c r="X24"/>
  <c r="BB24" s="1"/>
  <c r="X20"/>
  <c r="BB20" s="1"/>
  <c r="X16"/>
  <c r="BB16" s="1"/>
  <c r="X13"/>
  <c r="BB13" s="1"/>
  <c r="X12"/>
  <c r="BB12" s="1"/>
  <c r="G25"/>
  <c r="D26"/>
  <c r="E26"/>
  <c r="AU24"/>
  <c r="D20" i="9"/>
  <c r="E20" s="1"/>
  <c r="Q19"/>
  <c r="R19"/>
  <c r="Y44" i="10"/>
  <c r="Y45" s="1"/>
  <c r="K21" i="12"/>
  <c r="K40"/>
  <c r="F5"/>
  <c r="AQ19" i="8"/>
  <c r="AM19"/>
  <c r="AI19"/>
  <c r="AE19"/>
  <c r="AA19"/>
  <c r="W19"/>
  <c r="S19"/>
  <c r="O19"/>
  <c r="AL19"/>
  <c r="AG19"/>
  <c r="AB19"/>
  <c r="V19"/>
  <c r="Q19"/>
  <c r="AP19"/>
  <c r="AJ19"/>
  <c r="AC19"/>
  <c r="U19"/>
  <c r="N19"/>
  <c r="AO19"/>
  <c r="AH19"/>
  <c r="Z19"/>
  <c r="T19"/>
  <c r="AN19"/>
  <c r="AF19"/>
  <c r="Y19"/>
  <c r="R19"/>
  <c r="A20"/>
  <c r="AK19"/>
  <c r="AD19"/>
  <c r="X19"/>
  <c r="P19"/>
  <c r="A26" i="10"/>
  <c r="BV25"/>
  <c r="L25"/>
  <c r="AP25" s="1"/>
  <c r="M25"/>
  <c r="AQ25" s="1"/>
  <c r="N25"/>
  <c r="AR25" s="1"/>
  <c r="O25"/>
  <c r="AS25" s="1"/>
  <c r="P25"/>
  <c r="AT25" s="1"/>
  <c r="Q25"/>
  <c r="AU25" s="1"/>
  <c r="R25"/>
  <c r="AV25" s="1"/>
  <c r="S25"/>
  <c r="AW25" s="1"/>
  <c r="T25"/>
  <c r="AX25" s="1"/>
  <c r="U25"/>
  <c r="AY25" s="1"/>
  <c r="J28"/>
  <c r="A30" i="9"/>
  <c r="Q28"/>
  <c r="F29"/>
  <c r="H28" i="10" s="1"/>
  <c r="BU28" s="1"/>
  <c r="B29" i="9"/>
  <c r="G29"/>
  <c r="AV18" i="10"/>
  <c r="K40" i="11"/>
  <c r="K21"/>
  <c r="F5"/>
  <c r="G22" i="16" l="1"/>
  <c r="E23"/>
  <c r="D23"/>
  <c r="I4" i="11"/>
  <c r="G5"/>
  <c r="F30" i="9"/>
  <c r="H29" i="10" s="1"/>
  <c r="BU29" s="1"/>
  <c r="A31" i="9"/>
  <c r="Q29"/>
  <c r="B30"/>
  <c r="J29" i="10"/>
  <c r="G30" i="9"/>
  <c r="I4" i="12"/>
  <c r="G5"/>
  <c r="Z44" i="10"/>
  <c r="Z45" s="1"/>
  <c r="K44" i="12"/>
  <c r="E8" s="1"/>
  <c r="K23"/>
  <c r="G26" i="10"/>
  <c r="E27"/>
  <c r="D27"/>
  <c r="K44" i="11"/>
  <c r="E8" s="1"/>
  <c r="K23"/>
  <c r="A27" i="10"/>
  <c r="BV26"/>
  <c r="L26"/>
  <c r="AP26" s="1"/>
  <c r="M26"/>
  <c r="AQ26" s="1"/>
  <c r="N26"/>
  <c r="AR26" s="1"/>
  <c r="O26"/>
  <c r="AS26" s="1"/>
  <c r="P26"/>
  <c r="AT26" s="1"/>
  <c r="Q26"/>
  <c r="R26"/>
  <c r="AV26" s="1"/>
  <c r="S26"/>
  <c r="AW26" s="1"/>
  <c r="T26"/>
  <c r="AX26" s="1"/>
  <c r="U26"/>
  <c r="AY26" s="1"/>
  <c r="E22" i="8"/>
  <c r="F23"/>
  <c r="D23"/>
  <c r="A21"/>
  <c r="AO20"/>
  <c r="AK20"/>
  <c r="AG20"/>
  <c r="AC20"/>
  <c r="Y20"/>
  <c r="U20"/>
  <c r="Q20"/>
  <c r="AQ20"/>
  <c r="AL20"/>
  <c r="AF20"/>
  <c r="AA20"/>
  <c r="V20"/>
  <c r="P20"/>
  <c r="AP20"/>
  <c r="AI20"/>
  <c r="AB20"/>
  <c r="T20"/>
  <c r="N20"/>
  <c r="AN20"/>
  <c r="AH20"/>
  <c r="Z20"/>
  <c r="S20"/>
  <c r="AM20"/>
  <c r="AE20"/>
  <c r="X20"/>
  <c r="R20"/>
  <c r="AJ20"/>
  <c r="AD20"/>
  <c r="W20"/>
  <c r="O20"/>
  <c r="I19" i="10"/>
  <c r="J19" s="1"/>
  <c r="S19" s="1"/>
  <c r="C21" i="9"/>
  <c r="Y41" i="10"/>
  <c r="BC41" s="1"/>
  <c r="Y40"/>
  <c r="BC40" s="1"/>
  <c r="Y39"/>
  <c r="BC39" s="1"/>
  <c r="Y37"/>
  <c r="BC37" s="1"/>
  <c r="Y33"/>
  <c r="BC33" s="1"/>
  <c r="Y29"/>
  <c r="BC29" s="1"/>
  <c r="Y12"/>
  <c r="BC12" s="1"/>
  <c r="Y36"/>
  <c r="BC36" s="1"/>
  <c r="Y32"/>
  <c r="BC32" s="1"/>
  <c r="Y28"/>
  <c r="BC28" s="1"/>
  <c r="Y25"/>
  <c r="BC25" s="1"/>
  <c r="Y21"/>
  <c r="BC21" s="1"/>
  <c r="Y17"/>
  <c r="BC17" s="1"/>
  <c r="Y14"/>
  <c r="BC14" s="1"/>
  <c r="Y24"/>
  <c r="BC24" s="1"/>
  <c r="Y20"/>
  <c r="BC20" s="1"/>
  <c r="Y16"/>
  <c r="BC16" s="1"/>
  <c r="Y13"/>
  <c r="BC13" s="1"/>
  <c r="Z8"/>
  <c r="Y38"/>
  <c r="BC38" s="1"/>
  <c r="Y34"/>
  <c r="BC34" s="1"/>
  <c r="Y30"/>
  <c r="BC30" s="1"/>
  <c r="Y26"/>
  <c r="BC26" s="1"/>
  <c r="Y22"/>
  <c r="BC22" s="1"/>
  <c r="Y18"/>
  <c r="BC18" s="1"/>
  <c r="Y35"/>
  <c r="BC35" s="1"/>
  <c r="Y31"/>
  <c r="BC31" s="1"/>
  <c r="Y27"/>
  <c r="BC27" s="1"/>
  <c r="Y23"/>
  <c r="BC23" s="1"/>
  <c r="Y19"/>
  <c r="BC19" s="1"/>
  <c r="Y15"/>
  <c r="BC15" s="1"/>
  <c r="Y11"/>
  <c r="E24" i="16" l="1"/>
  <c r="G23"/>
  <c r="D24"/>
  <c r="AU26" i="10"/>
  <c r="G27"/>
  <c r="E28"/>
  <c r="D28"/>
  <c r="D21" i="9"/>
  <c r="E21" s="1"/>
  <c r="R20"/>
  <c r="Q20"/>
  <c r="E23" i="8"/>
  <c r="D24"/>
  <c r="F24"/>
  <c r="AA44" i="10"/>
  <c r="AA45" s="1"/>
  <c r="G31" i="9"/>
  <c r="Q30"/>
  <c r="B31"/>
  <c r="F31"/>
  <c r="H30" i="10" s="1"/>
  <c r="BU30" s="1"/>
  <c r="J30"/>
  <c r="A32" i="9"/>
  <c r="Z36" i="10"/>
  <c r="BD36" s="1"/>
  <c r="Z32"/>
  <c r="BD32" s="1"/>
  <c r="Z28"/>
  <c r="BD28" s="1"/>
  <c r="Z13"/>
  <c r="BD13" s="1"/>
  <c r="Z39"/>
  <c r="BD39" s="1"/>
  <c r="Z24"/>
  <c r="BD24" s="1"/>
  <c r="Z20"/>
  <c r="BD20" s="1"/>
  <c r="Z16"/>
  <c r="BD16" s="1"/>
  <c r="AA8"/>
  <c r="Z38"/>
  <c r="BD38" s="1"/>
  <c r="Z37"/>
  <c r="BD37" s="1"/>
  <c r="Z34"/>
  <c r="BD34" s="1"/>
  <c r="Z33"/>
  <c r="BD33" s="1"/>
  <c r="Z30"/>
  <c r="BD30" s="1"/>
  <c r="Z29"/>
  <c r="BD29" s="1"/>
  <c r="Z27"/>
  <c r="BD27" s="1"/>
  <c r="Z23"/>
  <c r="BD23" s="1"/>
  <c r="Z19"/>
  <c r="BD19" s="1"/>
  <c r="Z15"/>
  <c r="BD15" s="1"/>
  <c r="Z12"/>
  <c r="BD12" s="1"/>
  <c r="Z11"/>
  <c r="Z40"/>
  <c r="BD40" s="1"/>
  <c r="Z41"/>
  <c r="BD41" s="1"/>
  <c r="Z35"/>
  <c r="BD35" s="1"/>
  <c r="Z31"/>
  <c r="BD31" s="1"/>
  <c r="Z26"/>
  <c r="BD26" s="1"/>
  <c r="Z22"/>
  <c r="BD22" s="1"/>
  <c r="Z18"/>
  <c r="BD18" s="1"/>
  <c r="Z14"/>
  <c r="BD14" s="1"/>
  <c r="Z25"/>
  <c r="BD25" s="1"/>
  <c r="Z21"/>
  <c r="BD21" s="1"/>
  <c r="Z17"/>
  <c r="BD17" s="1"/>
  <c r="AW19"/>
  <c r="AQ21" i="8"/>
  <c r="AM21"/>
  <c r="AI21"/>
  <c r="AE21"/>
  <c r="AA21"/>
  <c r="W21"/>
  <c r="S21"/>
  <c r="O21"/>
  <c r="AL21"/>
  <c r="AG21"/>
  <c r="AB21"/>
  <c r="V21"/>
  <c r="Q21"/>
  <c r="AP21"/>
  <c r="AJ21"/>
  <c r="AC21"/>
  <c r="U21"/>
  <c r="N21"/>
  <c r="AO21"/>
  <c r="AH21"/>
  <c r="Z21"/>
  <c r="T21"/>
  <c r="AN21"/>
  <c r="AF21"/>
  <c r="Y21"/>
  <c r="R21"/>
  <c r="A22"/>
  <c r="AK21"/>
  <c r="AD21"/>
  <c r="X21"/>
  <c r="P21"/>
  <c r="BV27" i="10"/>
  <c r="A28"/>
  <c r="L27"/>
  <c r="AP27" s="1"/>
  <c r="M27"/>
  <c r="AQ27" s="1"/>
  <c r="N27"/>
  <c r="AR27" s="1"/>
  <c r="O27"/>
  <c r="AS27" s="1"/>
  <c r="P27"/>
  <c r="AT27" s="1"/>
  <c r="Q27"/>
  <c r="AU27" s="1"/>
  <c r="R27"/>
  <c r="S27"/>
  <c r="AW27" s="1"/>
  <c r="T27"/>
  <c r="AX27" s="1"/>
  <c r="U27"/>
  <c r="AY27" s="1"/>
  <c r="E25" i="16" l="1"/>
  <c r="G24"/>
  <c r="D25"/>
  <c r="BV28" i="10"/>
  <c r="A29"/>
  <c r="L28"/>
  <c r="AP28" s="1"/>
  <c r="M28"/>
  <c r="AQ28" s="1"/>
  <c r="N28"/>
  <c r="AR28" s="1"/>
  <c r="O28"/>
  <c r="AS28" s="1"/>
  <c r="P28"/>
  <c r="AT28" s="1"/>
  <c r="Q28"/>
  <c r="AU28" s="1"/>
  <c r="R28"/>
  <c r="AV28" s="1"/>
  <c r="S28"/>
  <c r="AW28" s="1"/>
  <c r="T28"/>
  <c r="AX28" s="1"/>
  <c r="U28"/>
  <c r="AY28" s="1"/>
  <c r="AV27"/>
  <c r="A33" i="9"/>
  <c r="F32"/>
  <c r="H31" i="10" s="1"/>
  <c r="BU31" s="1"/>
  <c r="B32" i="9"/>
  <c r="Q31"/>
  <c r="G32"/>
  <c r="J31" i="10"/>
  <c r="E24" i="8"/>
  <c r="F25"/>
  <c r="D25"/>
  <c r="I20" i="10"/>
  <c r="J20" s="1"/>
  <c r="T20" s="1"/>
  <c r="C22" i="9"/>
  <c r="A23" i="8"/>
  <c r="AO22"/>
  <c r="AK22"/>
  <c r="AG22"/>
  <c r="AC22"/>
  <c r="Y22"/>
  <c r="U22"/>
  <c r="Q22"/>
  <c r="AQ22"/>
  <c r="AL22"/>
  <c r="AF22"/>
  <c r="AA22"/>
  <c r="V22"/>
  <c r="P22"/>
  <c r="AP22"/>
  <c r="AI22"/>
  <c r="AB22"/>
  <c r="T22"/>
  <c r="N22"/>
  <c r="AN22"/>
  <c r="AH22"/>
  <c r="Z22"/>
  <c r="S22"/>
  <c r="AM22"/>
  <c r="AE22"/>
  <c r="X22"/>
  <c r="R22"/>
  <c r="AJ22"/>
  <c r="AD22"/>
  <c r="W22"/>
  <c r="O22"/>
  <c r="G28" i="10"/>
  <c r="E29"/>
  <c r="D29"/>
  <c r="AA41"/>
  <c r="BE41" s="1"/>
  <c r="AA38"/>
  <c r="BE38" s="1"/>
  <c r="AA37"/>
  <c r="BE37" s="1"/>
  <c r="AA36"/>
  <c r="BE36" s="1"/>
  <c r="AA35"/>
  <c r="BE35" s="1"/>
  <c r="AA34"/>
  <c r="BE34" s="1"/>
  <c r="AA33"/>
  <c r="BE33" s="1"/>
  <c r="AA32"/>
  <c r="BE32" s="1"/>
  <c r="AA31"/>
  <c r="BE31" s="1"/>
  <c r="AA30"/>
  <c r="BE30" s="1"/>
  <c r="AA29"/>
  <c r="BE29" s="1"/>
  <c r="AA28"/>
  <c r="BE28" s="1"/>
  <c r="AA40"/>
  <c r="BE40" s="1"/>
  <c r="AA39"/>
  <c r="BE39" s="1"/>
  <c r="AA27"/>
  <c r="BE27" s="1"/>
  <c r="AA26"/>
  <c r="BE26" s="1"/>
  <c r="AA25"/>
  <c r="BE25" s="1"/>
  <c r="AA24"/>
  <c r="BE24" s="1"/>
  <c r="AA23"/>
  <c r="BE23" s="1"/>
  <c r="AA22"/>
  <c r="BE22" s="1"/>
  <c r="AA21"/>
  <c r="BE21" s="1"/>
  <c r="AA20"/>
  <c r="BE20" s="1"/>
  <c r="AA19"/>
  <c r="BE19" s="1"/>
  <c r="AA18"/>
  <c r="BE18" s="1"/>
  <c r="AA17"/>
  <c r="BE17" s="1"/>
  <c r="AA16"/>
  <c r="BE16" s="1"/>
  <c r="AA15"/>
  <c r="BE15" s="1"/>
  <c r="AA14"/>
  <c r="BE14" s="1"/>
  <c r="AB8"/>
  <c r="AA13"/>
  <c r="BE13" s="1"/>
  <c r="AA12"/>
  <c r="BE12" s="1"/>
  <c r="AA11"/>
  <c r="AB44"/>
  <c r="AB45" s="1"/>
  <c r="E26" i="16" l="1"/>
  <c r="G25"/>
  <c r="D26"/>
  <c r="AB40" i="10"/>
  <c r="BF40" s="1"/>
  <c r="AB35"/>
  <c r="BF35" s="1"/>
  <c r="AB31"/>
  <c r="BF31" s="1"/>
  <c r="AB11"/>
  <c r="AB38"/>
  <c r="BF38" s="1"/>
  <c r="AB37"/>
  <c r="BF37" s="1"/>
  <c r="AB34"/>
  <c r="BF34" s="1"/>
  <c r="AB33"/>
  <c r="BF33" s="1"/>
  <c r="AB30"/>
  <c r="BF30" s="1"/>
  <c r="AB29"/>
  <c r="BF29" s="1"/>
  <c r="AB27"/>
  <c r="BF27" s="1"/>
  <c r="AB23"/>
  <c r="BF23" s="1"/>
  <c r="AB19"/>
  <c r="BF19" s="1"/>
  <c r="AB15"/>
  <c r="BF15" s="1"/>
  <c r="AB41"/>
  <c r="BF41" s="1"/>
  <c r="AB26"/>
  <c r="BF26" s="1"/>
  <c r="AB22"/>
  <c r="BF22" s="1"/>
  <c r="AB18"/>
  <c r="BF18" s="1"/>
  <c r="AB25"/>
  <c r="BF25" s="1"/>
  <c r="AB21"/>
  <c r="BF21" s="1"/>
  <c r="AB17"/>
  <c r="BF17" s="1"/>
  <c r="AB13"/>
  <c r="BF13" s="1"/>
  <c r="AB12"/>
  <c r="BF12" s="1"/>
  <c r="AC8"/>
  <c r="AB39"/>
  <c r="BF39" s="1"/>
  <c r="AB32"/>
  <c r="BF32" s="1"/>
  <c r="AB28"/>
  <c r="BF28" s="1"/>
  <c r="AB24"/>
  <c r="BF24" s="1"/>
  <c r="AB20"/>
  <c r="BF20" s="1"/>
  <c r="AB16"/>
  <c r="BF16" s="1"/>
  <c r="AB14"/>
  <c r="BF14" s="1"/>
  <c r="AB36"/>
  <c r="BF36" s="1"/>
  <c r="AQ23" i="8"/>
  <c r="AM23"/>
  <c r="AI23"/>
  <c r="AE23"/>
  <c r="AA23"/>
  <c r="W23"/>
  <c r="S23"/>
  <c r="O23"/>
  <c r="AL23"/>
  <c r="AG23"/>
  <c r="AB23"/>
  <c r="V23"/>
  <c r="Q23"/>
  <c r="AP23"/>
  <c r="AJ23"/>
  <c r="AC23"/>
  <c r="U23"/>
  <c r="N23"/>
  <c r="AO23"/>
  <c r="AH23"/>
  <c r="Z23"/>
  <c r="T23"/>
  <c r="AN23"/>
  <c r="AF23"/>
  <c r="Y23"/>
  <c r="R23"/>
  <c r="A24"/>
  <c r="AK23"/>
  <c r="AD23"/>
  <c r="X23"/>
  <c r="P23"/>
  <c r="E25"/>
  <c r="F26"/>
  <c r="D26"/>
  <c r="J32" i="10"/>
  <c r="F33" i="9"/>
  <c r="H32" i="10" s="1"/>
  <c r="BU32" s="1"/>
  <c r="A34" i="9"/>
  <c r="Q32"/>
  <c r="G33"/>
  <c r="B33"/>
  <c r="G29" i="10"/>
  <c r="E30"/>
  <c r="D30"/>
  <c r="A30"/>
  <c r="BV29"/>
  <c r="L29"/>
  <c r="AP29" s="1"/>
  <c r="M29"/>
  <c r="AQ29" s="1"/>
  <c r="N29"/>
  <c r="AR29" s="1"/>
  <c r="O29"/>
  <c r="AS29" s="1"/>
  <c r="P29"/>
  <c r="AT29" s="1"/>
  <c r="Q29"/>
  <c r="AU29" s="1"/>
  <c r="R29"/>
  <c r="AV29" s="1"/>
  <c r="S29"/>
  <c r="AW29" s="1"/>
  <c r="T29"/>
  <c r="AX29" s="1"/>
  <c r="U29"/>
  <c r="AY29" s="1"/>
  <c r="AC44"/>
  <c r="AC45" s="1"/>
  <c r="R21" i="9"/>
  <c r="D22"/>
  <c r="E22" s="1"/>
  <c r="AX20" i="10"/>
  <c r="G26" i="16" l="1"/>
  <c r="E27"/>
  <c r="D27"/>
  <c r="I21" i="10"/>
  <c r="F22" i="9"/>
  <c r="H21" i="10" s="1"/>
  <c r="C23" i="9"/>
  <c r="A31" i="10"/>
  <c r="BV30"/>
  <c r="L30"/>
  <c r="AP30" s="1"/>
  <c r="M30"/>
  <c r="AQ30" s="1"/>
  <c r="N30"/>
  <c r="AR30" s="1"/>
  <c r="O30"/>
  <c r="AS30" s="1"/>
  <c r="P30"/>
  <c r="AT30" s="1"/>
  <c r="Q30"/>
  <c r="AU30" s="1"/>
  <c r="R30"/>
  <c r="AV30" s="1"/>
  <c r="S30"/>
  <c r="AW30" s="1"/>
  <c r="T30"/>
  <c r="U30"/>
  <c r="AY30" s="1"/>
  <c r="AD44"/>
  <c r="AD45" s="1"/>
  <c r="E26" i="8"/>
  <c r="F27"/>
  <c r="D27"/>
  <c r="Q21" i="9"/>
  <c r="G30" i="10"/>
  <c r="D31"/>
  <c r="E31"/>
  <c r="B34" i="9"/>
  <c r="G34" s="1"/>
  <c r="F34"/>
  <c r="H33" i="10" s="1"/>
  <c r="BU33" s="1"/>
  <c r="Q33" i="9"/>
  <c r="J33" i="10"/>
  <c r="A35" i="9"/>
  <c r="A25" i="8"/>
  <c r="AO24"/>
  <c r="AK24"/>
  <c r="AG24"/>
  <c r="AC24"/>
  <c r="Y24"/>
  <c r="U24"/>
  <c r="Q24"/>
  <c r="AQ24"/>
  <c r="AL24"/>
  <c r="AF24"/>
  <c r="AA24"/>
  <c r="V24"/>
  <c r="P24"/>
  <c r="AP24"/>
  <c r="AI24"/>
  <c r="AB24"/>
  <c r="T24"/>
  <c r="N24"/>
  <c r="AN24"/>
  <c r="AH24"/>
  <c r="Z24"/>
  <c r="S24"/>
  <c r="AM24"/>
  <c r="AE24"/>
  <c r="X24"/>
  <c r="R24"/>
  <c r="AJ24"/>
  <c r="AD24"/>
  <c r="W24"/>
  <c r="O24"/>
  <c r="AC41" i="10"/>
  <c r="BG41" s="1"/>
  <c r="AC40"/>
  <c r="BG40" s="1"/>
  <c r="AC39"/>
  <c r="BG39" s="1"/>
  <c r="AC38"/>
  <c r="BG38" s="1"/>
  <c r="AC34"/>
  <c r="BG34" s="1"/>
  <c r="AC30"/>
  <c r="BG30" s="1"/>
  <c r="AC12"/>
  <c r="BG12" s="1"/>
  <c r="AC26"/>
  <c r="BG26" s="1"/>
  <c r="AC22"/>
  <c r="BG22" s="1"/>
  <c r="AC18"/>
  <c r="BG18" s="1"/>
  <c r="AC35"/>
  <c r="BG35" s="1"/>
  <c r="AC31"/>
  <c r="BG31" s="1"/>
  <c r="AC25"/>
  <c r="BG25" s="1"/>
  <c r="AC21"/>
  <c r="BG21" s="1"/>
  <c r="AC17"/>
  <c r="BG17" s="1"/>
  <c r="AC14"/>
  <c r="BG14" s="1"/>
  <c r="AC11"/>
  <c r="AC37"/>
  <c r="BG37" s="1"/>
  <c r="AC33"/>
  <c r="BG33" s="1"/>
  <c r="AC29"/>
  <c r="BG29" s="1"/>
  <c r="AC28"/>
  <c r="BG28" s="1"/>
  <c r="AC24"/>
  <c r="BG24" s="1"/>
  <c r="AC20"/>
  <c r="BG20" s="1"/>
  <c r="AC16"/>
  <c r="BG16" s="1"/>
  <c r="AC36"/>
  <c r="BG36" s="1"/>
  <c r="AC13"/>
  <c r="BG13" s="1"/>
  <c r="AC27"/>
  <c r="BG27" s="1"/>
  <c r="AC23"/>
  <c r="BG23" s="1"/>
  <c r="AC19"/>
  <c r="BG19" s="1"/>
  <c r="AC15"/>
  <c r="BG15" s="1"/>
  <c r="AC32"/>
  <c r="BG32" s="1"/>
  <c r="AD8"/>
  <c r="E28" i="16" l="1"/>
  <c r="G27"/>
  <c r="D28"/>
  <c r="AD39" i="10"/>
  <c r="BH39" s="1"/>
  <c r="AD41"/>
  <c r="BH41" s="1"/>
  <c r="AD37"/>
  <c r="BH37" s="1"/>
  <c r="AD33"/>
  <c r="BH33" s="1"/>
  <c r="AD29"/>
  <c r="BH29" s="1"/>
  <c r="AD13"/>
  <c r="BH13" s="1"/>
  <c r="AD35"/>
  <c r="BH35" s="1"/>
  <c r="AD31"/>
  <c r="BH31" s="1"/>
  <c r="AD25"/>
  <c r="BH25" s="1"/>
  <c r="AD21"/>
  <c r="BH21" s="1"/>
  <c r="AD17"/>
  <c r="BH17" s="1"/>
  <c r="AD14"/>
  <c r="BH14" s="1"/>
  <c r="AD36"/>
  <c r="BH36" s="1"/>
  <c r="AD32"/>
  <c r="BH32" s="1"/>
  <c r="AD28"/>
  <c r="BH28" s="1"/>
  <c r="AD24"/>
  <c r="BH24" s="1"/>
  <c r="AD20"/>
  <c r="BH20" s="1"/>
  <c r="AD16"/>
  <c r="BH16" s="1"/>
  <c r="AE8"/>
  <c r="AD26"/>
  <c r="BH26" s="1"/>
  <c r="AD22"/>
  <c r="BH22" s="1"/>
  <c r="AD18"/>
  <c r="BH18" s="1"/>
  <c r="AD34"/>
  <c r="BH34" s="1"/>
  <c r="AD27"/>
  <c r="BH27" s="1"/>
  <c r="AD23"/>
  <c r="BH23" s="1"/>
  <c r="AD19"/>
  <c r="BH19" s="1"/>
  <c r="AD15"/>
  <c r="BH15" s="1"/>
  <c r="AD12"/>
  <c r="BH12" s="1"/>
  <c r="AD11"/>
  <c r="AD40"/>
  <c r="BH40" s="1"/>
  <c r="AD38"/>
  <c r="BH38" s="1"/>
  <c r="AD30"/>
  <c r="BH30" s="1"/>
  <c r="AX30"/>
  <c r="R22" i="9"/>
  <c r="D23"/>
  <c r="E23" s="1"/>
  <c r="Q34"/>
  <c r="B35"/>
  <c r="G35" s="1"/>
  <c r="J34" i="10"/>
  <c r="A36" i="9"/>
  <c r="F35"/>
  <c r="H34" i="10" s="1"/>
  <c r="BU34" s="1"/>
  <c r="BU21"/>
  <c r="J21"/>
  <c r="U21" s="1"/>
  <c r="AE44"/>
  <c r="AE45" s="1"/>
  <c r="E27" i="8"/>
  <c r="D28"/>
  <c r="F28"/>
  <c r="BV31" i="10"/>
  <c r="A32"/>
  <c r="L31"/>
  <c r="AP31" s="1"/>
  <c r="M31"/>
  <c r="AQ31" s="1"/>
  <c r="N31"/>
  <c r="AR31" s="1"/>
  <c r="O31"/>
  <c r="AS31" s="1"/>
  <c r="P31"/>
  <c r="AT31" s="1"/>
  <c r="Q31"/>
  <c r="AU31" s="1"/>
  <c r="R31"/>
  <c r="AV31" s="1"/>
  <c r="S31"/>
  <c r="AW31" s="1"/>
  <c r="T31"/>
  <c r="AX31" s="1"/>
  <c r="U31"/>
  <c r="AY31" s="1"/>
  <c r="AQ25" i="8"/>
  <c r="AM25"/>
  <c r="AI25"/>
  <c r="AE25"/>
  <c r="AA25"/>
  <c r="W25"/>
  <c r="S25"/>
  <c r="O25"/>
  <c r="AL25"/>
  <c r="AG25"/>
  <c r="AB25"/>
  <c r="V25"/>
  <c r="Q25"/>
  <c r="AP25"/>
  <c r="AJ25"/>
  <c r="AC25"/>
  <c r="U25"/>
  <c r="N25"/>
  <c r="AO25"/>
  <c r="AH25"/>
  <c r="Z25"/>
  <c r="T25"/>
  <c r="AN25"/>
  <c r="AF25"/>
  <c r="Y25"/>
  <c r="R25"/>
  <c r="A26"/>
  <c r="AK25"/>
  <c r="AD25"/>
  <c r="X25"/>
  <c r="P25"/>
  <c r="G31" i="10"/>
  <c r="E32"/>
  <c r="D32"/>
  <c r="E29" i="16" l="1"/>
  <c r="G28"/>
  <c r="D29"/>
  <c r="A27" i="8"/>
  <c r="AO26"/>
  <c r="AK26"/>
  <c r="AG26"/>
  <c r="AC26"/>
  <c r="Y26"/>
  <c r="U26"/>
  <c r="Q26"/>
  <c r="AQ26"/>
  <c r="AL26"/>
  <c r="AF26"/>
  <c r="AA26"/>
  <c r="V26"/>
  <c r="P26"/>
  <c r="AP26"/>
  <c r="AI26"/>
  <c r="AB26"/>
  <c r="T26"/>
  <c r="N26"/>
  <c r="AN26"/>
  <c r="AH26"/>
  <c r="Z26"/>
  <c r="S26"/>
  <c r="AM26"/>
  <c r="AE26"/>
  <c r="X26"/>
  <c r="R26"/>
  <c r="AJ26"/>
  <c r="AD26"/>
  <c r="W26"/>
  <c r="O26"/>
  <c r="I22" i="10"/>
  <c r="C24" i="9"/>
  <c r="G32" i="10"/>
  <c r="E33"/>
  <c r="D33"/>
  <c r="E28" i="8"/>
  <c r="F29"/>
  <c r="D29"/>
  <c r="A37" i="9"/>
  <c r="F36"/>
  <c r="H35" i="10" s="1"/>
  <c r="B36" i="9"/>
  <c r="Q35"/>
  <c r="G36"/>
  <c r="J35" i="10"/>
  <c r="AE38"/>
  <c r="BI38" s="1"/>
  <c r="AE37"/>
  <c r="BI37" s="1"/>
  <c r="AE36"/>
  <c r="BI36" s="1"/>
  <c r="AE35"/>
  <c r="BI35" s="1"/>
  <c r="AE34"/>
  <c r="BI34" s="1"/>
  <c r="AE33"/>
  <c r="BI33" s="1"/>
  <c r="AE32"/>
  <c r="BI32" s="1"/>
  <c r="AE31"/>
  <c r="BI31" s="1"/>
  <c r="AE30"/>
  <c r="BI30" s="1"/>
  <c r="AE29"/>
  <c r="BI29" s="1"/>
  <c r="AE28"/>
  <c r="BI28" s="1"/>
  <c r="AE27"/>
  <c r="BI27" s="1"/>
  <c r="AE26"/>
  <c r="BI26" s="1"/>
  <c r="AE25"/>
  <c r="BI25" s="1"/>
  <c r="AE24"/>
  <c r="BI24" s="1"/>
  <c r="AE23"/>
  <c r="BI23" s="1"/>
  <c r="AE22"/>
  <c r="BI22" s="1"/>
  <c r="AE21"/>
  <c r="BI21" s="1"/>
  <c r="AE20"/>
  <c r="BI20" s="1"/>
  <c r="AE19"/>
  <c r="BI19" s="1"/>
  <c r="AE18"/>
  <c r="BI18" s="1"/>
  <c r="AE17"/>
  <c r="BI17" s="1"/>
  <c r="AE16"/>
  <c r="BI16" s="1"/>
  <c r="AE15"/>
  <c r="BI15" s="1"/>
  <c r="AE14"/>
  <c r="BI14" s="1"/>
  <c r="AF8"/>
  <c r="AE41"/>
  <c r="BI41" s="1"/>
  <c r="AE40"/>
  <c r="BI40" s="1"/>
  <c r="AE13"/>
  <c r="BI13" s="1"/>
  <c r="AE12"/>
  <c r="BI12" s="1"/>
  <c r="AE11"/>
  <c r="AE39"/>
  <c r="BI39" s="1"/>
  <c r="AF44"/>
  <c r="AF45" s="1"/>
  <c r="BV32"/>
  <c r="A33"/>
  <c r="L32"/>
  <c r="AP32" s="1"/>
  <c r="M32"/>
  <c r="AQ32" s="1"/>
  <c r="N32"/>
  <c r="AR32" s="1"/>
  <c r="O32"/>
  <c r="AS32" s="1"/>
  <c r="P32"/>
  <c r="AT32" s="1"/>
  <c r="Q32"/>
  <c r="AU32" s="1"/>
  <c r="R32"/>
  <c r="AV32" s="1"/>
  <c r="S32"/>
  <c r="AW32" s="1"/>
  <c r="T32"/>
  <c r="AX32" s="1"/>
  <c r="U32"/>
  <c r="AY32" s="1"/>
  <c r="AY21"/>
  <c r="E30" i="16" l="1"/>
  <c r="G29"/>
  <c r="D30"/>
  <c r="J36" i="10"/>
  <c r="B37" i="9"/>
  <c r="F37"/>
  <c r="H36" i="10" s="1"/>
  <c r="BU36" s="1"/>
  <c r="Q36" i="9"/>
  <c r="A38"/>
  <c r="G33" i="10"/>
  <c r="E34"/>
  <c r="D34"/>
  <c r="R23" i="9"/>
  <c r="D24"/>
  <c r="E24" s="1"/>
  <c r="AF41" i="10"/>
  <c r="BJ41" s="1"/>
  <c r="AF36"/>
  <c r="BJ36" s="1"/>
  <c r="AF32"/>
  <c r="BJ32" s="1"/>
  <c r="AF28"/>
  <c r="BJ28" s="1"/>
  <c r="AF11"/>
  <c r="AF40"/>
  <c r="BJ40" s="1"/>
  <c r="AF24"/>
  <c r="BJ24" s="1"/>
  <c r="AF20"/>
  <c r="BJ20" s="1"/>
  <c r="AF16"/>
  <c r="BJ16" s="1"/>
  <c r="AF13"/>
  <c r="BJ13" s="1"/>
  <c r="AF12"/>
  <c r="BJ12" s="1"/>
  <c r="AG8"/>
  <c r="AF39"/>
  <c r="BJ39" s="1"/>
  <c r="AF27"/>
  <c r="BJ27" s="1"/>
  <c r="AF23"/>
  <c r="BJ23" s="1"/>
  <c r="AF19"/>
  <c r="BJ19" s="1"/>
  <c r="AF15"/>
  <c r="BJ15" s="1"/>
  <c r="AF37"/>
  <c r="BJ37" s="1"/>
  <c r="AF35"/>
  <c r="BJ35" s="1"/>
  <c r="AF33"/>
  <c r="BJ33" s="1"/>
  <c r="AF31"/>
  <c r="BJ31" s="1"/>
  <c r="AF29"/>
  <c r="BJ29" s="1"/>
  <c r="AF14"/>
  <c r="BJ14" s="1"/>
  <c r="AF34"/>
  <c r="BJ34" s="1"/>
  <c r="AF38"/>
  <c r="BJ38" s="1"/>
  <c r="AF30"/>
  <c r="BJ30" s="1"/>
  <c r="AF25"/>
  <c r="BJ25" s="1"/>
  <c r="AF21"/>
  <c r="BJ21" s="1"/>
  <c r="AF17"/>
  <c r="BJ17" s="1"/>
  <c r="AF26"/>
  <c r="BJ26" s="1"/>
  <c r="AF22"/>
  <c r="BJ22" s="1"/>
  <c r="AF18"/>
  <c r="BJ18" s="1"/>
  <c r="E29" i="8"/>
  <c r="F30"/>
  <c r="D30"/>
  <c r="AG44" i="10"/>
  <c r="AG45" s="1"/>
  <c r="A34"/>
  <c r="BV33"/>
  <c r="L33"/>
  <c r="AP33" s="1"/>
  <c r="M33"/>
  <c r="AQ33" s="1"/>
  <c r="N33"/>
  <c r="AR33" s="1"/>
  <c r="O33"/>
  <c r="AS33" s="1"/>
  <c r="P33"/>
  <c r="AT33" s="1"/>
  <c r="Q33"/>
  <c r="AU33" s="1"/>
  <c r="R33"/>
  <c r="AV33" s="1"/>
  <c r="S33"/>
  <c r="AW33" s="1"/>
  <c r="T33"/>
  <c r="AX33" s="1"/>
  <c r="U33"/>
  <c r="AY33" s="1"/>
  <c r="BU35"/>
  <c r="AQ27" i="8"/>
  <c r="AM27"/>
  <c r="AI27"/>
  <c r="AE27"/>
  <c r="AA27"/>
  <c r="W27"/>
  <c r="S27"/>
  <c r="O27"/>
  <c r="AP27"/>
  <c r="AL27"/>
  <c r="AH27"/>
  <c r="AD27"/>
  <c r="Z27"/>
  <c r="V27"/>
  <c r="R27"/>
  <c r="AO27"/>
  <c r="AG27"/>
  <c r="Y27"/>
  <c r="Q27"/>
  <c r="A28"/>
  <c r="AJ27"/>
  <c r="X27"/>
  <c r="N27"/>
  <c r="AF27"/>
  <c r="U27"/>
  <c r="AN27"/>
  <c r="AC27"/>
  <c r="T27"/>
  <c r="AK27"/>
  <c r="AB27"/>
  <c r="P27"/>
  <c r="G30" i="16" l="1"/>
  <c r="E31"/>
  <c r="D31"/>
  <c r="A29" i="8"/>
  <c r="AO28"/>
  <c r="AK28"/>
  <c r="AG28"/>
  <c r="AC28"/>
  <c r="Y28"/>
  <c r="U28"/>
  <c r="Q28"/>
  <c r="AN28"/>
  <c r="AJ28"/>
  <c r="AF28"/>
  <c r="AB28"/>
  <c r="X28"/>
  <c r="T28"/>
  <c r="P28"/>
  <c r="AQ28"/>
  <c r="AI28"/>
  <c r="AA28"/>
  <c r="S28"/>
  <c r="AP28"/>
  <c r="AE28"/>
  <c r="V28"/>
  <c r="AM28"/>
  <c r="AD28"/>
  <c r="R28"/>
  <c r="AL28"/>
  <c r="Z28"/>
  <c r="O28"/>
  <c r="AH28"/>
  <c r="W28"/>
  <c r="N28"/>
  <c r="G34" i="10"/>
  <c r="D35"/>
  <c r="E35"/>
  <c r="A35"/>
  <c r="BV34"/>
  <c r="L34"/>
  <c r="AP34" s="1"/>
  <c r="M34"/>
  <c r="AQ34" s="1"/>
  <c r="N34"/>
  <c r="AR34" s="1"/>
  <c r="O34"/>
  <c r="AS34" s="1"/>
  <c r="P34"/>
  <c r="AT34" s="1"/>
  <c r="Q34"/>
  <c r="AU34" s="1"/>
  <c r="R34"/>
  <c r="AV34" s="1"/>
  <c r="S34"/>
  <c r="AW34" s="1"/>
  <c r="T34"/>
  <c r="AX34" s="1"/>
  <c r="U34"/>
  <c r="AY34" s="1"/>
  <c r="AH44"/>
  <c r="AH45" s="1"/>
  <c r="AG41"/>
  <c r="BK41" s="1"/>
  <c r="AG40"/>
  <c r="BK40" s="1"/>
  <c r="AG39"/>
  <c r="BK39" s="1"/>
  <c r="AG35"/>
  <c r="BK35" s="1"/>
  <c r="AG31"/>
  <c r="BK31" s="1"/>
  <c r="AG12"/>
  <c r="BK12" s="1"/>
  <c r="AG36"/>
  <c r="BK36" s="1"/>
  <c r="AG32"/>
  <c r="BK32" s="1"/>
  <c r="AG28"/>
  <c r="BK28" s="1"/>
  <c r="AG27"/>
  <c r="BK27" s="1"/>
  <c r="AG23"/>
  <c r="BK23" s="1"/>
  <c r="AG19"/>
  <c r="BK19" s="1"/>
  <c r="AG15"/>
  <c r="BK15" s="1"/>
  <c r="AG11"/>
  <c r="AG38"/>
  <c r="BK38" s="1"/>
  <c r="AG37"/>
  <c r="BK37" s="1"/>
  <c r="AG34"/>
  <c r="BK34" s="1"/>
  <c r="AG33"/>
  <c r="BK33" s="1"/>
  <c r="AG30"/>
  <c r="BK30" s="1"/>
  <c r="AG29"/>
  <c r="BK29" s="1"/>
  <c r="AG26"/>
  <c r="BK26" s="1"/>
  <c r="AG22"/>
  <c r="BK22" s="1"/>
  <c r="AG18"/>
  <c r="BK18" s="1"/>
  <c r="AG24"/>
  <c r="BK24" s="1"/>
  <c r="AG20"/>
  <c r="BK20" s="1"/>
  <c r="AG16"/>
  <c r="BK16" s="1"/>
  <c r="AG14"/>
  <c r="BK14" s="1"/>
  <c r="AG13"/>
  <c r="BK13" s="1"/>
  <c r="AG25"/>
  <c r="BK25" s="1"/>
  <c r="AG21"/>
  <c r="BK21" s="1"/>
  <c r="AG17"/>
  <c r="BK17" s="1"/>
  <c r="AH8"/>
  <c r="I23"/>
  <c r="C25" i="9"/>
  <c r="G37"/>
  <c r="E30" i="8"/>
  <c r="F31"/>
  <c r="D31"/>
  <c r="B38" i="9"/>
  <c r="G38" s="1"/>
  <c r="J37" i="10"/>
  <c r="A39" i="9"/>
  <c r="F38"/>
  <c r="H37" i="10" s="1"/>
  <c r="BU37" s="1"/>
  <c r="Q37" i="9"/>
  <c r="E32" i="16" l="1"/>
  <c r="G31"/>
  <c r="D32"/>
  <c r="AI44" i="10"/>
  <c r="AI45" s="1"/>
  <c r="G35"/>
  <c r="E36"/>
  <c r="D36"/>
  <c r="AH40"/>
  <c r="BL40" s="1"/>
  <c r="AH39"/>
  <c r="BL39" s="1"/>
  <c r="AH38"/>
  <c r="BL38" s="1"/>
  <c r="AH34"/>
  <c r="BL34" s="1"/>
  <c r="AH30"/>
  <c r="BL30" s="1"/>
  <c r="AH13"/>
  <c r="BL13" s="1"/>
  <c r="AH37"/>
  <c r="BL37" s="1"/>
  <c r="AH33"/>
  <c r="BL33" s="1"/>
  <c r="AH29"/>
  <c r="BL29" s="1"/>
  <c r="AH26"/>
  <c r="BL26" s="1"/>
  <c r="AH22"/>
  <c r="BL22" s="1"/>
  <c r="AH18"/>
  <c r="BL18" s="1"/>
  <c r="AH25"/>
  <c r="BL25" s="1"/>
  <c r="AH21"/>
  <c r="BL21" s="1"/>
  <c r="AH17"/>
  <c r="BL17" s="1"/>
  <c r="AH14"/>
  <c r="BL14" s="1"/>
  <c r="AH41"/>
  <c r="BL41" s="1"/>
  <c r="AH27"/>
  <c r="BL27" s="1"/>
  <c r="AH23"/>
  <c r="BL23" s="1"/>
  <c r="AH19"/>
  <c r="BL19" s="1"/>
  <c r="AH15"/>
  <c r="BL15" s="1"/>
  <c r="AH36"/>
  <c r="BL36" s="1"/>
  <c r="AH32"/>
  <c r="BL32" s="1"/>
  <c r="AH35"/>
  <c r="BL35" s="1"/>
  <c r="AH12"/>
  <c r="BL12" s="1"/>
  <c r="AH11"/>
  <c r="AI8"/>
  <c r="AH31"/>
  <c r="BL31" s="1"/>
  <c r="AH28"/>
  <c r="BL28" s="1"/>
  <c r="AH24"/>
  <c r="BL24" s="1"/>
  <c r="AH20"/>
  <c r="BL20" s="1"/>
  <c r="AH16"/>
  <c r="BL16" s="1"/>
  <c r="AQ29" i="8"/>
  <c r="AM29"/>
  <c r="AI29"/>
  <c r="AE29"/>
  <c r="AA29"/>
  <c r="W29"/>
  <c r="S29"/>
  <c r="O29"/>
  <c r="AP29"/>
  <c r="AL29"/>
  <c r="AH29"/>
  <c r="AD29"/>
  <c r="Z29"/>
  <c r="V29"/>
  <c r="R29"/>
  <c r="N29"/>
  <c r="AO29"/>
  <c r="AG29"/>
  <c r="Y29"/>
  <c r="Q29"/>
  <c r="AN29"/>
  <c r="AC29"/>
  <c r="T29"/>
  <c r="AK29"/>
  <c r="AB29"/>
  <c r="P29"/>
  <c r="A30"/>
  <c r="AJ29"/>
  <c r="X29"/>
  <c r="AF29"/>
  <c r="U29"/>
  <c r="Q38" i="9"/>
  <c r="A40"/>
  <c r="J38" i="10"/>
  <c r="F39" i="9"/>
  <c r="H38" i="10" s="1"/>
  <c r="BU38" s="1"/>
  <c r="B39" i="9"/>
  <c r="E31" i="8"/>
  <c r="F32"/>
  <c r="D32"/>
  <c r="D25" i="9"/>
  <c r="E25" s="1"/>
  <c r="R24"/>
  <c r="BV35" i="10"/>
  <c r="A36"/>
  <c r="L35"/>
  <c r="AP35" s="1"/>
  <c r="M35"/>
  <c r="AQ35" s="1"/>
  <c r="N35"/>
  <c r="AR35" s="1"/>
  <c r="O35"/>
  <c r="AS35" s="1"/>
  <c r="P35"/>
  <c r="AT35" s="1"/>
  <c r="Q35"/>
  <c r="AU35" s="1"/>
  <c r="R35"/>
  <c r="AV35" s="1"/>
  <c r="S35"/>
  <c r="AW35" s="1"/>
  <c r="T35"/>
  <c r="AX35" s="1"/>
  <c r="U35"/>
  <c r="AY35" s="1"/>
  <c r="E33" i="16" l="1"/>
  <c r="G32"/>
  <c r="D33"/>
  <c r="I24" i="10"/>
  <c r="C26" i="9"/>
  <c r="BV36" i="10"/>
  <c r="A37"/>
  <c r="L36"/>
  <c r="AP36" s="1"/>
  <c r="M36"/>
  <c r="AQ36" s="1"/>
  <c r="N36"/>
  <c r="AR36" s="1"/>
  <c r="O36"/>
  <c r="AS36" s="1"/>
  <c r="P36"/>
  <c r="AT36" s="1"/>
  <c r="Q36"/>
  <c r="AU36" s="1"/>
  <c r="R36"/>
  <c r="AV36" s="1"/>
  <c r="S36"/>
  <c r="AW36" s="1"/>
  <c r="T36"/>
  <c r="AX36" s="1"/>
  <c r="U36"/>
  <c r="AY36" s="1"/>
  <c r="E32" i="8"/>
  <c r="F33"/>
  <c r="D33"/>
  <c r="G39" i="9"/>
  <c r="AI39" i="10"/>
  <c r="BM39" s="1"/>
  <c r="AI38"/>
  <c r="BM38" s="1"/>
  <c r="AI37"/>
  <c r="BM37" s="1"/>
  <c r="AI36"/>
  <c r="BM36" s="1"/>
  <c r="AI35"/>
  <c r="BM35" s="1"/>
  <c r="AI34"/>
  <c r="BM34" s="1"/>
  <c r="AI33"/>
  <c r="BM33" s="1"/>
  <c r="AI32"/>
  <c r="BM32" s="1"/>
  <c r="AI31"/>
  <c r="BM31" s="1"/>
  <c r="AI30"/>
  <c r="BM30" s="1"/>
  <c r="AI29"/>
  <c r="BM29" s="1"/>
  <c r="AI28"/>
  <c r="BM28" s="1"/>
  <c r="AI40"/>
  <c r="BM40" s="1"/>
  <c r="AI27"/>
  <c r="BM27" s="1"/>
  <c r="AI26"/>
  <c r="BM26" s="1"/>
  <c r="AI25"/>
  <c r="BM25" s="1"/>
  <c r="AI24"/>
  <c r="BM24" s="1"/>
  <c r="AI23"/>
  <c r="BM23" s="1"/>
  <c r="AI22"/>
  <c r="BM22" s="1"/>
  <c r="AI21"/>
  <c r="BM21" s="1"/>
  <c r="AI20"/>
  <c r="BM20" s="1"/>
  <c r="AI19"/>
  <c r="BM19" s="1"/>
  <c r="AI18"/>
  <c r="BM18" s="1"/>
  <c r="AI17"/>
  <c r="BM17" s="1"/>
  <c r="AI16"/>
  <c r="BM16" s="1"/>
  <c r="AI15"/>
  <c r="BM15" s="1"/>
  <c r="AI14"/>
  <c r="BM14" s="1"/>
  <c r="AJ8"/>
  <c r="AI41"/>
  <c r="BM41" s="1"/>
  <c r="AI12"/>
  <c r="BM12" s="1"/>
  <c r="AI11"/>
  <c r="AI13"/>
  <c r="BM13" s="1"/>
  <c r="G36"/>
  <c r="E37"/>
  <c r="D37"/>
  <c r="A41" i="9"/>
  <c r="F40"/>
  <c r="H39" i="10" s="1"/>
  <c r="BU39" s="1"/>
  <c r="B40" i="9"/>
  <c r="G40"/>
  <c r="J39" i="10"/>
  <c r="Q39" i="9"/>
  <c r="A31" i="8"/>
  <c r="AO30"/>
  <c r="AK30"/>
  <c r="AG30"/>
  <c r="AC30"/>
  <c r="Y30"/>
  <c r="U30"/>
  <c r="Q30"/>
  <c r="AN30"/>
  <c r="AJ30"/>
  <c r="AF30"/>
  <c r="AB30"/>
  <c r="X30"/>
  <c r="T30"/>
  <c r="P30"/>
  <c r="AQ30"/>
  <c r="AI30"/>
  <c r="AA30"/>
  <c r="S30"/>
  <c r="AL30"/>
  <c r="Z30"/>
  <c r="O30"/>
  <c r="AH30"/>
  <c r="W30"/>
  <c r="N30"/>
  <c r="AP30"/>
  <c r="AE30"/>
  <c r="V30"/>
  <c r="AM30"/>
  <c r="AD30"/>
  <c r="R30"/>
  <c r="AJ44" i="10"/>
  <c r="AJ45" s="1"/>
  <c r="E34" i="16" l="1"/>
  <c r="G33"/>
  <c r="D34"/>
  <c r="G37" i="10"/>
  <c r="E38"/>
  <c r="D38"/>
  <c r="E33" i="8"/>
  <c r="F34"/>
  <c r="D34"/>
  <c r="R25" i="9"/>
  <c r="D26"/>
  <c r="E26" s="1"/>
  <c r="AQ31" i="8"/>
  <c r="AM31"/>
  <c r="AI31"/>
  <c r="AE31"/>
  <c r="AA31"/>
  <c r="W31"/>
  <c r="S31"/>
  <c r="O31"/>
  <c r="AP31"/>
  <c r="AL31"/>
  <c r="AH31"/>
  <c r="AD31"/>
  <c r="Z31"/>
  <c r="V31"/>
  <c r="R31"/>
  <c r="N31"/>
  <c r="AO31"/>
  <c r="AG31"/>
  <c r="Y31"/>
  <c r="Q31"/>
  <c r="A32"/>
  <c r="AJ31"/>
  <c r="X31"/>
  <c r="AF31"/>
  <c r="U31"/>
  <c r="AN31"/>
  <c r="AC31"/>
  <c r="T31"/>
  <c r="AK31"/>
  <c r="AB31"/>
  <c r="P31"/>
  <c r="AK44" i="10"/>
  <c r="AK45" s="1"/>
  <c r="A38"/>
  <c r="BV37"/>
  <c r="L37"/>
  <c r="AP37" s="1"/>
  <c r="M37"/>
  <c r="AQ37" s="1"/>
  <c r="N37"/>
  <c r="AR37" s="1"/>
  <c r="O37"/>
  <c r="AS37" s="1"/>
  <c r="P37"/>
  <c r="AT37" s="1"/>
  <c r="Q37"/>
  <c r="AU37" s="1"/>
  <c r="R37"/>
  <c r="AV37" s="1"/>
  <c r="S37"/>
  <c r="AW37" s="1"/>
  <c r="T37"/>
  <c r="AX37" s="1"/>
  <c r="U37"/>
  <c r="AY37" s="1"/>
  <c r="B41" i="9"/>
  <c r="A42"/>
  <c r="Q40"/>
  <c r="J40" i="10"/>
  <c r="F41" i="9"/>
  <c r="H40" i="10" s="1"/>
  <c r="BU40" s="1"/>
  <c r="AJ41"/>
  <c r="BN41" s="1"/>
  <c r="AJ37"/>
  <c r="BN37" s="1"/>
  <c r="AJ33"/>
  <c r="BN33" s="1"/>
  <c r="AJ29"/>
  <c r="BN29" s="1"/>
  <c r="AJ11"/>
  <c r="AJ39"/>
  <c r="BN39" s="1"/>
  <c r="AJ38"/>
  <c r="BN38" s="1"/>
  <c r="AJ34"/>
  <c r="BN34" s="1"/>
  <c r="AJ30"/>
  <c r="BN30" s="1"/>
  <c r="AJ25"/>
  <c r="BN25" s="1"/>
  <c r="AJ21"/>
  <c r="BN21" s="1"/>
  <c r="AJ17"/>
  <c r="BN17" s="1"/>
  <c r="AJ14"/>
  <c r="BN14" s="1"/>
  <c r="AJ35"/>
  <c r="BN35" s="1"/>
  <c r="AJ31"/>
  <c r="BN31" s="1"/>
  <c r="AJ24"/>
  <c r="BN24" s="1"/>
  <c r="AJ20"/>
  <c r="BN20" s="1"/>
  <c r="AJ16"/>
  <c r="BN16" s="1"/>
  <c r="AJ13"/>
  <c r="BN13" s="1"/>
  <c r="AJ12"/>
  <c r="BN12" s="1"/>
  <c r="AK8"/>
  <c r="AJ36"/>
  <c r="BN36" s="1"/>
  <c r="AJ32"/>
  <c r="BN32" s="1"/>
  <c r="AJ28"/>
  <c r="BN28" s="1"/>
  <c r="AJ26"/>
  <c r="BN26" s="1"/>
  <c r="AJ22"/>
  <c r="BN22" s="1"/>
  <c r="AJ18"/>
  <c r="BN18" s="1"/>
  <c r="AJ27"/>
  <c r="BN27" s="1"/>
  <c r="AJ23"/>
  <c r="BN23" s="1"/>
  <c r="AJ19"/>
  <c r="BN19" s="1"/>
  <c r="AJ15"/>
  <c r="BN15" s="1"/>
  <c r="AJ40"/>
  <c r="BN40" s="1"/>
  <c r="G34" i="16" l="1"/>
  <c r="E35"/>
  <c r="D35"/>
  <c r="G35" s="1"/>
  <c r="Q41" i="9"/>
  <c r="R7" s="1"/>
  <c r="J41" i="10"/>
  <c r="B42" i="9"/>
  <c r="F42"/>
  <c r="G38" i="10"/>
  <c r="E39"/>
  <c r="D39"/>
  <c r="A33" i="8"/>
  <c r="AO32"/>
  <c r="AK32"/>
  <c r="AG32"/>
  <c r="AC32"/>
  <c r="Y32"/>
  <c r="U32"/>
  <c r="Q32"/>
  <c r="AM32"/>
  <c r="AH32"/>
  <c r="AB32"/>
  <c r="W32"/>
  <c r="R32"/>
  <c r="AQ32"/>
  <c r="AL32"/>
  <c r="AF32"/>
  <c r="AA32"/>
  <c r="V32"/>
  <c r="P32"/>
  <c r="AP32"/>
  <c r="AE32"/>
  <c r="T32"/>
  <c r="AJ32"/>
  <c r="X32"/>
  <c r="AI32"/>
  <c r="S32"/>
  <c r="AD32"/>
  <c r="O32"/>
  <c r="AN32"/>
  <c r="Z32"/>
  <c r="N32"/>
  <c r="E34"/>
  <c r="F35"/>
  <c r="D35"/>
  <c r="E35" s="1"/>
  <c r="AL44" i="10"/>
  <c r="AL45" s="1"/>
  <c r="AK41"/>
  <c r="BO41" s="1"/>
  <c r="AK40"/>
  <c r="BO40" s="1"/>
  <c r="AK39"/>
  <c r="BO39" s="1"/>
  <c r="AK36"/>
  <c r="BO36" s="1"/>
  <c r="AK32"/>
  <c r="BO32" s="1"/>
  <c r="AK28"/>
  <c r="BO28" s="1"/>
  <c r="AK12"/>
  <c r="BO12" s="1"/>
  <c r="AK35"/>
  <c r="BO35" s="1"/>
  <c r="AK31"/>
  <c r="BO31" s="1"/>
  <c r="AK24"/>
  <c r="BO24" s="1"/>
  <c r="AK20"/>
  <c r="BO20" s="1"/>
  <c r="AK16"/>
  <c r="BO16" s="1"/>
  <c r="AK13"/>
  <c r="BO13" s="1"/>
  <c r="AL8"/>
  <c r="AK27"/>
  <c r="BO27" s="1"/>
  <c r="AK23"/>
  <c r="BO23" s="1"/>
  <c r="AK19"/>
  <c r="BO19" s="1"/>
  <c r="AK15"/>
  <c r="BO15" s="1"/>
  <c r="AK11"/>
  <c r="AK38"/>
  <c r="BO38" s="1"/>
  <c r="AK34"/>
  <c r="BO34" s="1"/>
  <c r="AK30"/>
  <c r="BO30" s="1"/>
  <c r="AK25"/>
  <c r="BO25" s="1"/>
  <c r="AK21"/>
  <c r="BO21" s="1"/>
  <c r="AK17"/>
  <c r="BO17" s="1"/>
  <c r="AK37"/>
  <c r="BO37" s="1"/>
  <c r="AK29"/>
  <c r="BO29" s="1"/>
  <c r="AK26"/>
  <c r="BO26" s="1"/>
  <c r="AK22"/>
  <c r="BO22" s="1"/>
  <c r="AK18"/>
  <c r="BO18" s="1"/>
  <c r="AK33"/>
  <c r="BO33" s="1"/>
  <c r="AK14"/>
  <c r="BO14" s="1"/>
  <c r="G41" i="9"/>
  <c r="A39" i="10"/>
  <c r="BV38"/>
  <c r="L38"/>
  <c r="AP38" s="1"/>
  <c r="M38"/>
  <c r="AQ38" s="1"/>
  <c r="N38"/>
  <c r="AR38" s="1"/>
  <c r="O38"/>
  <c r="AS38" s="1"/>
  <c r="P38"/>
  <c r="AT38" s="1"/>
  <c r="Q38"/>
  <c r="AU38" s="1"/>
  <c r="R38"/>
  <c r="AV38" s="1"/>
  <c r="S38"/>
  <c r="AW38" s="1"/>
  <c r="T38"/>
  <c r="AX38" s="1"/>
  <c r="U38"/>
  <c r="AY38" s="1"/>
  <c r="I25"/>
  <c r="C27" i="9"/>
  <c r="E2" i="16" l="1"/>
  <c r="AQ33" i="8"/>
  <c r="AM33"/>
  <c r="AI33"/>
  <c r="AE33"/>
  <c r="AA33"/>
  <c r="W33"/>
  <c r="S33"/>
  <c r="O33"/>
  <c r="A34"/>
  <c r="AN33"/>
  <c r="AH33"/>
  <c r="AC33"/>
  <c r="X33"/>
  <c r="R33"/>
  <c r="AL33"/>
  <c r="AG33"/>
  <c r="AB33"/>
  <c r="V33"/>
  <c r="Q33"/>
  <c r="AP33"/>
  <c r="AF33"/>
  <c r="U33"/>
  <c r="AK33"/>
  <c r="Y33"/>
  <c r="AJ33"/>
  <c r="T33"/>
  <c r="AD33"/>
  <c r="P33"/>
  <c r="AO33"/>
  <c r="Z33"/>
  <c r="N33"/>
  <c r="AM44" i="10"/>
  <c r="AM45" s="1"/>
  <c r="A40"/>
  <c r="BV39"/>
  <c r="L39"/>
  <c r="AP39" s="1"/>
  <c r="M39"/>
  <c r="AQ39" s="1"/>
  <c r="N39"/>
  <c r="AR39" s="1"/>
  <c r="O39"/>
  <c r="AS39" s="1"/>
  <c r="P39"/>
  <c r="AT39" s="1"/>
  <c r="Q39"/>
  <c r="AU39" s="1"/>
  <c r="R39"/>
  <c r="AV39" s="1"/>
  <c r="S39"/>
  <c r="AW39" s="1"/>
  <c r="T39"/>
  <c r="AX39" s="1"/>
  <c r="U39"/>
  <c r="AY39" s="1"/>
  <c r="AL41"/>
  <c r="BP41" s="1"/>
  <c r="AL35"/>
  <c r="BP35" s="1"/>
  <c r="AL31"/>
  <c r="BP31" s="1"/>
  <c r="AL13"/>
  <c r="BP13" s="1"/>
  <c r="AL27"/>
  <c r="BP27" s="1"/>
  <c r="AL23"/>
  <c r="BP23" s="1"/>
  <c r="AL19"/>
  <c r="BP19" s="1"/>
  <c r="AL15"/>
  <c r="BP15" s="1"/>
  <c r="AL12"/>
  <c r="BP12" s="1"/>
  <c r="AL11"/>
  <c r="AL36"/>
  <c r="BP36" s="1"/>
  <c r="AL32"/>
  <c r="BP32" s="1"/>
  <c r="AL28"/>
  <c r="BP28" s="1"/>
  <c r="AL26"/>
  <c r="BP26" s="1"/>
  <c r="AL22"/>
  <c r="BP22" s="1"/>
  <c r="AL18"/>
  <c r="BP18" s="1"/>
  <c r="AL38"/>
  <c r="BP38" s="1"/>
  <c r="AL34"/>
  <c r="BP34" s="1"/>
  <c r="AL30"/>
  <c r="BP30" s="1"/>
  <c r="AL25"/>
  <c r="BP25" s="1"/>
  <c r="AL21"/>
  <c r="BP21" s="1"/>
  <c r="AL17"/>
  <c r="BP17" s="1"/>
  <c r="AM8"/>
  <c r="AL40"/>
  <c r="BP40" s="1"/>
  <c r="AL39"/>
  <c r="BP39" s="1"/>
  <c r="AL37"/>
  <c r="BP37" s="1"/>
  <c r="AL29"/>
  <c r="BP29" s="1"/>
  <c r="AL33"/>
  <c r="BP33" s="1"/>
  <c r="AL24"/>
  <c r="BP24" s="1"/>
  <c r="AL20"/>
  <c r="BP20" s="1"/>
  <c r="AL16"/>
  <c r="BP16" s="1"/>
  <c r="AL14"/>
  <c r="BP14" s="1"/>
  <c r="H41"/>
  <c r="F7" i="9"/>
  <c r="R26"/>
  <c r="D27"/>
  <c r="E27" s="1"/>
  <c r="F2" i="8"/>
  <c r="G39" i="10"/>
  <c r="D40"/>
  <c r="E40"/>
  <c r="F7" i="16" l="1"/>
  <c r="F6"/>
  <c r="F10"/>
  <c r="F9"/>
  <c r="F8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G40" i="10"/>
  <c r="D41"/>
  <c r="G41" s="1"/>
  <c r="E41"/>
  <c r="I26"/>
  <c r="C28" i="9"/>
  <c r="BU41" i="10"/>
  <c r="B3"/>
  <c r="BX39" s="1"/>
  <c r="A41"/>
  <c r="BV40"/>
  <c r="L40"/>
  <c r="AP40" s="1"/>
  <c r="M40"/>
  <c r="AQ40" s="1"/>
  <c r="N40"/>
  <c r="AR40" s="1"/>
  <c r="O40"/>
  <c r="AS40" s="1"/>
  <c r="P40"/>
  <c r="AT40" s="1"/>
  <c r="Q40"/>
  <c r="AU40" s="1"/>
  <c r="R40"/>
  <c r="AV40" s="1"/>
  <c r="S40"/>
  <c r="AW40" s="1"/>
  <c r="T40"/>
  <c r="AX40" s="1"/>
  <c r="U40"/>
  <c r="AY40" s="1"/>
  <c r="A35" i="8"/>
  <c r="AO34"/>
  <c r="AK34"/>
  <c r="AG34"/>
  <c r="AC34"/>
  <c r="Y34"/>
  <c r="U34"/>
  <c r="Q34"/>
  <c r="AM34"/>
  <c r="AH34"/>
  <c r="AB34"/>
  <c r="W34"/>
  <c r="R34"/>
  <c r="AQ34"/>
  <c r="AL34"/>
  <c r="AF34"/>
  <c r="AA34"/>
  <c r="V34"/>
  <c r="P34"/>
  <c r="AP34"/>
  <c r="AE34"/>
  <c r="T34"/>
  <c r="AJ34"/>
  <c r="X34"/>
  <c r="AI34"/>
  <c r="S34"/>
  <c r="AD34"/>
  <c r="O34"/>
  <c r="AN34"/>
  <c r="Z34"/>
  <c r="N34"/>
  <c r="AN44" i="10"/>
  <c r="AN45" s="1"/>
  <c r="AM40"/>
  <c r="BQ40" s="1"/>
  <c r="AM38"/>
  <c r="BQ38" s="1"/>
  <c r="AM37"/>
  <c r="BQ37" s="1"/>
  <c r="AM36"/>
  <c r="BQ36" s="1"/>
  <c r="AM35"/>
  <c r="BQ35" s="1"/>
  <c r="AM34"/>
  <c r="BQ34" s="1"/>
  <c r="AM33"/>
  <c r="BQ33" s="1"/>
  <c r="AM32"/>
  <c r="BQ32" s="1"/>
  <c r="AM31"/>
  <c r="BQ31" s="1"/>
  <c r="AM30"/>
  <c r="BQ30" s="1"/>
  <c r="AM29"/>
  <c r="BQ29" s="1"/>
  <c r="AM28"/>
  <c r="BQ28" s="1"/>
  <c r="AM27"/>
  <c r="BQ27" s="1"/>
  <c r="AM26"/>
  <c r="BQ26" s="1"/>
  <c r="AM25"/>
  <c r="BQ25" s="1"/>
  <c r="AM24"/>
  <c r="BQ24" s="1"/>
  <c r="AM23"/>
  <c r="BQ23" s="1"/>
  <c r="AM22"/>
  <c r="BQ22" s="1"/>
  <c r="AM21"/>
  <c r="BQ21" s="1"/>
  <c r="AM20"/>
  <c r="BQ20" s="1"/>
  <c r="AM19"/>
  <c r="BQ19" s="1"/>
  <c r="AM18"/>
  <c r="BQ18" s="1"/>
  <c r="AM17"/>
  <c r="BQ17" s="1"/>
  <c r="AM16"/>
  <c r="BQ16" s="1"/>
  <c r="AM15"/>
  <c r="BQ15" s="1"/>
  <c r="AM14"/>
  <c r="BQ14" s="1"/>
  <c r="AN8"/>
  <c r="AM41"/>
  <c r="BQ41" s="1"/>
  <c r="AM13"/>
  <c r="BQ13" s="1"/>
  <c r="AM12"/>
  <c r="BQ12" s="1"/>
  <c r="AM11"/>
  <c r="AM39"/>
  <c r="BQ39" s="1"/>
  <c r="F3" i="16" l="1"/>
  <c r="AN39" i="10"/>
  <c r="BR39" s="1"/>
  <c r="AN38"/>
  <c r="BR38" s="1"/>
  <c r="AN34"/>
  <c r="BR34" s="1"/>
  <c r="AN30"/>
  <c r="BR30" s="1"/>
  <c r="AN11"/>
  <c r="AN41"/>
  <c r="BR41" s="1"/>
  <c r="AN36"/>
  <c r="BR36" s="1"/>
  <c r="AN32"/>
  <c r="BR32" s="1"/>
  <c r="AN28"/>
  <c r="BR28" s="1"/>
  <c r="AN26"/>
  <c r="BR26" s="1"/>
  <c r="AN22"/>
  <c r="BR22" s="1"/>
  <c r="AN18"/>
  <c r="BR18" s="1"/>
  <c r="AN40"/>
  <c r="BR40" s="1"/>
  <c r="AN37"/>
  <c r="BR37" s="1"/>
  <c r="AN33"/>
  <c r="BR33" s="1"/>
  <c r="AN29"/>
  <c r="BR29" s="1"/>
  <c r="AN25"/>
  <c r="BR25" s="1"/>
  <c r="AN21"/>
  <c r="BR21" s="1"/>
  <c r="AN17"/>
  <c r="BR17" s="1"/>
  <c r="AN14"/>
  <c r="BR14" s="1"/>
  <c r="AO8"/>
  <c r="AN31"/>
  <c r="BR31" s="1"/>
  <c r="AN24"/>
  <c r="BR24" s="1"/>
  <c r="AN20"/>
  <c r="BR20" s="1"/>
  <c r="AN16"/>
  <c r="BR16" s="1"/>
  <c r="AN13"/>
  <c r="BR13" s="1"/>
  <c r="AN35"/>
  <c r="BR35" s="1"/>
  <c r="AN27"/>
  <c r="BR27" s="1"/>
  <c r="AN23"/>
  <c r="BR23" s="1"/>
  <c r="AN19"/>
  <c r="BR19" s="1"/>
  <c r="AN15"/>
  <c r="BR15" s="1"/>
  <c r="AN12"/>
  <c r="BR12" s="1"/>
  <c r="AQ35" i="8"/>
  <c r="AQ36" s="1"/>
  <c r="AQ37" s="1"/>
  <c r="AM35"/>
  <c r="AM36" s="1"/>
  <c r="AI35"/>
  <c r="AI36" s="1"/>
  <c r="AE35"/>
  <c r="AE36" s="1"/>
  <c r="AA35"/>
  <c r="AA36" s="1"/>
  <c r="W35"/>
  <c r="W36" s="1"/>
  <c r="S35"/>
  <c r="S36" s="1"/>
  <c r="O35"/>
  <c r="O36" s="1"/>
  <c r="AN35"/>
  <c r="AN36" s="1"/>
  <c r="AH35"/>
  <c r="AH36" s="1"/>
  <c r="AC35"/>
  <c r="AC36" s="1"/>
  <c r="X35"/>
  <c r="X36" s="1"/>
  <c r="R35"/>
  <c r="R36" s="1"/>
  <c r="AL35"/>
  <c r="AL36" s="1"/>
  <c r="AG35"/>
  <c r="AG36" s="1"/>
  <c r="AB35"/>
  <c r="AB36" s="1"/>
  <c r="V35"/>
  <c r="V36" s="1"/>
  <c r="Q35"/>
  <c r="Q36" s="1"/>
  <c r="AP35"/>
  <c r="AP36" s="1"/>
  <c r="AF35"/>
  <c r="AF36" s="1"/>
  <c r="U35"/>
  <c r="U36" s="1"/>
  <c r="H35"/>
  <c r="AK35"/>
  <c r="AK36" s="1"/>
  <c r="Y35"/>
  <c r="Y36" s="1"/>
  <c r="AJ35"/>
  <c r="AJ36" s="1"/>
  <c r="T35"/>
  <c r="T36" s="1"/>
  <c r="AD35"/>
  <c r="AD36" s="1"/>
  <c r="P35"/>
  <c r="P36" s="1"/>
  <c r="AO35"/>
  <c r="AO36" s="1"/>
  <c r="Z35"/>
  <c r="Z36" s="1"/>
  <c r="N35"/>
  <c r="N36" s="1"/>
  <c r="BX40" i="10"/>
  <c r="R27" i="9"/>
  <c r="D28"/>
  <c r="E28" s="1"/>
  <c r="BV41" i="10"/>
  <c r="L41"/>
  <c r="M41"/>
  <c r="N41"/>
  <c r="O41"/>
  <c r="P41"/>
  <c r="Q41"/>
  <c r="R41"/>
  <c r="S41"/>
  <c r="T41"/>
  <c r="U41"/>
  <c r="F41"/>
  <c r="AO44"/>
  <c r="AO45" s="1"/>
  <c r="B8"/>
  <c r="BX12"/>
  <c r="BX13"/>
  <c r="BX14"/>
  <c r="BX15"/>
  <c r="BX16"/>
  <c r="BX17"/>
  <c r="BX18"/>
  <c r="BX19"/>
  <c r="BX20"/>
  <c r="BX22"/>
  <c r="BX23"/>
  <c r="BX24"/>
  <c r="BX25"/>
  <c r="BX26"/>
  <c r="BX27"/>
  <c r="BX28"/>
  <c r="BX29"/>
  <c r="BX30"/>
  <c r="BX31"/>
  <c r="BX21"/>
  <c r="BX32"/>
  <c r="BX33"/>
  <c r="BX34"/>
  <c r="BX35"/>
  <c r="BX36"/>
  <c r="BX37"/>
  <c r="BX38"/>
  <c r="AW41" l="1"/>
  <c r="S42"/>
  <c r="S43" s="1"/>
  <c r="S45" s="1"/>
  <c r="AS41"/>
  <c r="O42"/>
  <c r="O43" s="1"/>
  <c r="O45" s="1"/>
  <c r="BX41"/>
  <c r="BX11" s="1"/>
  <c r="C3" s="1"/>
  <c r="P37" i="8"/>
  <c r="H8"/>
  <c r="Y37"/>
  <c r="H17"/>
  <c r="AF37"/>
  <c r="H24"/>
  <c r="AB37"/>
  <c r="H20"/>
  <c r="X37"/>
  <c r="H16"/>
  <c r="O37"/>
  <c r="H7"/>
  <c r="AE37"/>
  <c r="H23"/>
  <c r="AV41" i="10"/>
  <c r="R42"/>
  <c r="R43" s="1"/>
  <c r="R45" s="1"/>
  <c r="AR41"/>
  <c r="N42"/>
  <c r="N43" s="1"/>
  <c r="N45" s="1"/>
  <c r="I27"/>
  <c r="C29" i="9"/>
  <c r="N37" i="8"/>
  <c r="H6"/>
  <c r="AD37"/>
  <c r="H22"/>
  <c r="AK37"/>
  <c r="H29"/>
  <c r="AP37"/>
  <c r="H34"/>
  <c r="AG37"/>
  <c r="H25"/>
  <c r="AC37"/>
  <c r="H21"/>
  <c r="S37"/>
  <c r="H11"/>
  <c r="AI37"/>
  <c r="H27"/>
  <c r="AY41" i="10"/>
  <c r="U42"/>
  <c r="U43" s="1"/>
  <c r="U45" s="1"/>
  <c r="AU41"/>
  <c r="Q42"/>
  <c r="Q43" s="1"/>
  <c r="Q45" s="1"/>
  <c r="AQ41"/>
  <c r="M42"/>
  <c r="M43" s="1"/>
  <c r="M45" s="1"/>
  <c r="Z37" i="8"/>
  <c r="H18"/>
  <c r="T37"/>
  <c r="H12"/>
  <c r="I35"/>
  <c r="J35" s="1"/>
  <c r="AR34"/>
  <c r="Q37"/>
  <c r="H9"/>
  <c r="AL37"/>
  <c r="H30"/>
  <c r="AH37"/>
  <c r="H26"/>
  <c r="W37"/>
  <c r="H15"/>
  <c r="AM37"/>
  <c r="H31"/>
  <c r="F12" i="10"/>
  <c r="F14"/>
  <c r="F13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AX41"/>
  <c r="T42"/>
  <c r="T43" s="1"/>
  <c r="T45" s="1"/>
  <c r="AT41"/>
  <c r="P42"/>
  <c r="P43" s="1"/>
  <c r="P45" s="1"/>
  <c r="AP41"/>
  <c r="L42"/>
  <c r="AO37" i="8"/>
  <c r="H33"/>
  <c r="AJ37"/>
  <c r="H28"/>
  <c r="U37"/>
  <c r="H13"/>
  <c r="V37"/>
  <c r="H14"/>
  <c r="R37"/>
  <c r="H10"/>
  <c r="AN37"/>
  <c r="H32"/>
  <c r="AA37"/>
  <c r="H19"/>
  <c r="AO41" i="10"/>
  <c r="BS41" s="1"/>
  <c r="AO40"/>
  <c r="BS40" s="1"/>
  <c r="BT40" s="1"/>
  <c r="AO39"/>
  <c r="BS39" s="1"/>
  <c r="BT39" s="1"/>
  <c r="AO37"/>
  <c r="BS37" s="1"/>
  <c r="BT37" s="1"/>
  <c r="AO33"/>
  <c r="BS33" s="1"/>
  <c r="BT33" s="1"/>
  <c r="AO29"/>
  <c r="BS29" s="1"/>
  <c r="BT29" s="1"/>
  <c r="AO12"/>
  <c r="BS12" s="1"/>
  <c r="BT12" s="1"/>
  <c r="AO25"/>
  <c r="BS25" s="1"/>
  <c r="BT25" s="1"/>
  <c r="AO21"/>
  <c r="BS21" s="1"/>
  <c r="BT21" s="1"/>
  <c r="AO17"/>
  <c r="BS17" s="1"/>
  <c r="BT17" s="1"/>
  <c r="AO14"/>
  <c r="BS14" s="1"/>
  <c r="BT14" s="1"/>
  <c r="AO38"/>
  <c r="BS38" s="1"/>
  <c r="BT38" s="1"/>
  <c r="AO34"/>
  <c r="BS34" s="1"/>
  <c r="BT34" s="1"/>
  <c r="AO30"/>
  <c r="BS30" s="1"/>
  <c r="BT30" s="1"/>
  <c r="AO24"/>
  <c r="BS24" s="1"/>
  <c r="BT24" s="1"/>
  <c r="AO20"/>
  <c r="BS20" s="1"/>
  <c r="BT20" s="1"/>
  <c r="AO16"/>
  <c r="BS16" s="1"/>
  <c r="BT16" s="1"/>
  <c r="AO13"/>
  <c r="BS13" s="1"/>
  <c r="BT13" s="1"/>
  <c r="AO35"/>
  <c r="BS35" s="1"/>
  <c r="BT35" s="1"/>
  <c r="AO31"/>
  <c r="BS31" s="1"/>
  <c r="BT31" s="1"/>
  <c r="AO36"/>
  <c r="BS36" s="1"/>
  <c r="BT36" s="1"/>
  <c r="AO26"/>
  <c r="BS26" s="1"/>
  <c r="BT26" s="1"/>
  <c r="AO22"/>
  <c r="BS22" s="1"/>
  <c r="BT22" s="1"/>
  <c r="AO18"/>
  <c r="BS18" s="1"/>
  <c r="BT18" s="1"/>
  <c r="AO32"/>
  <c r="BS32" s="1"/>
  <c r="BT32" s="1"/>
  <c r="AO28"/>
  <c r="BS28" s="1"/>
  <c r="BT28" s="1"/>
  <c r="AO27"/>
  <c r="BS27" s="1"/>
  <c r="BT27" s="1"/>
  <c r="AO23"/>
  <c r="BS23" s="1"/>
  <c r="BT23" s="1"/>
  <c r="AO19"/>
  <c r="BS19" s="1"/>
  <c r="BT19" s="1"/>
  <c r="AO15"/>
  <c r="BS15" s="1"/>
  <c r="BT15" s="1"/>
  <c r="AO11"/>
  <c r="BT41" l="1"/>
  <c r="B4"/>
  <c r="BW26" s="1"/>
  <c r="I15" i="8"/>
  <c r="J15" s="1"/>
  <c r="AR14"/>
  <c r="I30"/>
  <c r="J30" s="1"/>
  <c r="AR29"/>
  <c r="I18"/>
  <c r="J18" s="1"/>
  <c r="AR17"/>
  <c r="I27"/>
  <c r="J27" s="1"/>
  <c r="AR26"/>
  <c r="I34"/>
  <c r="J34" s="1"/>
  <c r="AR33"/>
  <c r="R28" i="9"/>
  <c r="D29"/>
  <c r="E29" s="1"/>
  <c r="I7" i="8"/>
  <c r="J7" s="1"/>
  <c r="AR6"/>
  <c r="I20"/>
  <c r="J20" s="1"/>
  <c r="AR19"/>
  <c r="I17"/>
  <c r="J17" s="1"/>
  <c r="AR16"/>
  <c r="I26"/>
  <c r="J26" s="1"/>
  <c r="AR25"/>
  <c r="I12"/>
  <c r="J12" s="1"/>
  <c r="AR11"/>
  <c r="I11"/>
  <c r="J11" s="1"/>
  <c r="AR10"/>
  <c r="I25"/>
  <c r="J25" s="1"/>
  <c r="AR24"/>
  <c r="I29"/>
  <c r="J29" s="1"/>
  <c r="AR28"/>
  <c r="I6"/>
  <c r="J6" s="1"/>
  <c r="AR5"/>
  <c r="I21"/>
  <c r="J21" s="1"/>
  <c r="AR20"/>
  <c r="I22"/>
  <c r="J22" s="1"/>
  <c r="AR21"/>
  <c r="I32"/>
  <c r="J32" s="1"/>
  <c r="AR31"/>
  <c r="I14"/>
  <c r="J14" s="1"/>
  <c r="AR13"/>
  <c r="I28"/>
  <c r="J28" s="1"/>
  <c r="AR27"/>
  <c r="AP42" i="10"/>
  <c r="L43"/>
  <c r="I31" i="8"/>
  <c r="J31" s="1"/>
  <c r="AR30"/>
  <c r="I9"/>
  <c r="J9" s="1"/>
  <c r="AR8"/>
  <c r="I19"/>
  <c r="J19" s="1"/>
  <c r="AR18"/>
  <c r="I10"/>
  <c r="J10" s="1"/>
  <c r="AR9"/>
  <c r="I13"/>
  <c r="J13" s="1"/>
  <c r="AR12"/>
  <c r="I33"/>
  <c r="J33" s="1"/>
  <c r="AR32"/>
  <c r="B9" i="10"/>
  <c r="I23" i="8"/>
  <c r="J23" s="1"/>
  <c r="AR22"/>
  <c r="I16"/>
  <c r="J16" s="1"/>
  <c r="AR15"/>
  <c r="I24"/>
  <c r="J24" s="1"/>
  <c r="AR23"/>
  <c r="I8"/>
  <c r="J8" s="1"/>
  <c r="AR7"/>
  <c r="BW38" i="10" l="1"/>
  <c r="BW29"/>
  <c r="BW37"/>
  <c r="BW28"/>
  <c r="J2" i="8"/>
  <c r="B3" s="1"/>
  <c r="I28" i="10"/>
  <c r="C30" i="9"/>
  <c r="B5" i="10"/>
  <c r="BW35"/>
  <c r="BW23"/>
  <c r="BW25"/>
  <c r="BW21"/>
  <c r="BW34"/>
  <c r="BW17"/>
  <c r="BW15"/>
  <c r="BW12"/>
  <c r="BW22"/>
  <c r="L45"/>
  <c r="B6" s="1"/>
  <c r="B7" s="1"/>
  <c r="AP43"/>
  <c r="BW19"/>
  <c r="BW20"/>
  <c r="BW33"/>
  <c r="BW32"/>
  <c r="BW30"/>
  <c r="BW41"/>
  <c r="BW14"/>
  <c r="BW27"/>
  <c r="BW18"/>
  <c r="C3" i="8"/>
  <c r="BW36" i="10"/>
  <c r="BW16"/>
  <c r="BW40"/>
  <c r="BW13"/>
  <c r="BW39"/>
  <c r="BW24"/>
  <c r="BW31"/>
  <c r="BW11" l="1"/>
  <c r="C4" s="1"/>
  <c r="D30" i="9"/>
  <c r="E30" s="1"/>
  <c r="R29"/>
  <c r="I29" i="10" l="1"/>
  <c r="C31" i="9"/>
  <c r="R30" l="1"/>
  <c r="D31"/>
  <c r="E31" s="1"/>
  <c r="I30" i="10" l="1"/>
  <c r="C32" i="9"/>
  <c r="D32" l="1"/>
  <c r="E32" s="1"/>
  <c r="R31"/>
  <c r="I31" i="10" l="1"/>
  <c r="C33" i="9"/>
  <c r="R32" l="1"/>
  <c r="D33"/>
  <c r="E33" s="1"/>
  <c r="I32" i="10" l="1"/>
  <c r="C34" i="9"/>
  <c r="D34" l="1"/>
  <c r="E34" s="1"/>
  <c r="R33"/>
  <c r="I33" i="10" l="1"/>
  <c r="C35" i="9"/>
  <c r="D35" l="1"/>
  <c r="E35" s="1"/>
  <c r="R34"/>
  <c r="I34" i="10" l="1"/>
  <c r="C36" i="9"/>
  <c r="R35" l="1"/>
  <c r="D36"/>
  <c r="E36" s="1"/>
  <c r="I35" i="10" l="1"/>
  <c r="C37" i="9"/>
  <c r="D37" l="1"/>
  <c r="E37" s="1"/>
  <c r="R36"/>
  <c r="I36" i="10" l="1"/>
  <c r="C38" i="9"/>
  <c r="R37" l="1"/>
  <c r="D38"/>
  <c r="E38" s="1"/>
  <c r="I37" i="10" l="1"/>
  <c r="C39" i="9"/>
  <c r="D39" l="1"/>
  <c r="E39" s="1"/>
  <c r="R38"/>
  <c r="I38" i="10" l="1"/>
  <c r="C40" i="9"/>
  <c r="D40" l="1"/>
  <c r="E40" s="1"/>
  <c r="R39"/>
  <c r="I39" i="10" l="1"/>
  <c r="C41" i="9"/>
  <c r="D41" l="1"/>
  <c r="E41" s="1"/>
  <c r="R40"/>
  <c r="I40" i="10" l="1"/>
  <c r="C42" i="9"/>
  <c r="D42" l="1"/>
  <c r="E42" s="1"/>
  <c r="R41"/>
  <c r="R6" s="1"/>
  <c r="I41" i="10" l="1"/>
  <c r="G42" i="9"/>
  <c r="F6" s="1"/>
</calcChain>
</file>

<file path=xl/sharedStrings.xml><?xml version="1.0" encoding="utf-8"?>
<sst xmlns="http://schemas.openxmlformats.org/spreadsheetml/2006/main" count="279" uniqueCount="166">
  <si>
    <t>1997 -- Q4 0.39% 0.90% 0.37% 0.96% 1.19%</t>
  </si>
  <si>
    <t>1998 -- Q4 0.54% 0.48% 0.29% 0.37% 0.93%</t>
  </si>
  <si>
    <t>1999 -- Q4 0.51% 0.25% 0.12% 0.14% 0.71%</t>
  </si>
  <si>
    <t>2000 -- Q4 0.81% 0.28% 0.04% 0.04% 0.67%</t>
  </si>
  <si>
    <t>2001 -- Q4 1.26% 0.12% 0.33% 0.15% 0.90%</t>
  </si>
  <si>
    <t>2002 -- Q4 1.47% 0.28% 0.13% 0.13% 0.86%</t>
  </si>
  <si>
    <t>2003 -- Q4 1.72% 0.12% 0.13% 0.05% 0.78%</t>
  </si>
  <si>
    <t>2004 -- Q4 1.29% 0.08% 0.10% 0.06% 0.61%</t>
  </si>
  <si>
    <t>2005 -- Q4 0.84% 0.05% 0.27% 0.00% 0.53%</t>
  </si>
  <si>
    <t>2006 -- Q4 0.41% 0.02% 0.08% 0.05% 0.59%</t>
  </si>
  <si>
    <t>2007 -- Q4 0.39% 0.01% 0.08% 0.02% 0.85%</t>
  </si>
  <si>
    <t>2008 -- Q4 1.17% 0.07% 0.30% 0.01% 1.66%</t>
  </si>
  <si>
    <t>2009 -- Q4 5.70% 0.19% 0.63% 0.20% 3.94%</t>
  </si>
  <si>
    <t>2010 -- Q4 8.95% 0.19% 0.71% 0.26% 4.18%</t>
  </si>
  <si>
    <t>Banks &amp; Thrifts (90+days)</t>
  </si>
  <si>
    <t>CMBS(30+days&amp;REO)</t>
  </si>
  <si>
    <t>Life Insurance Cos (60+days)</t>
  </si>
  <si>
    <t>FNMA(60+days)</t>
  </si>
  <si>
    <t>FHLMC(60+days)</t>
  </si>
  <si>
    <t>NCL-CLA</t>
  </si>
  <si>
    <r>
      <t xml:space="preserve">Simple 3-year Example of Default Hazard, Conditional Recovery, and Yield Degradation. </t>
    </r>
    <r>
      <rPr>
        <sz val="10"/>
        <rFont val="Arial"/>
        <family val="2"/>
      </rPr>
      <t>(See Sect.18.1 Lecture Notes.)</t>
    </r>
  </si>
  <si>
    <t>Note: Difference between E[YLD] based on E[CFs] versus E[YLD] based on "Yield Degradation Formula". (Difference is due to non-linearities in the IRR formula.)</t>
  </si>
  <si>
    <t>Loan Amt</t>
  </si>
  <si>
    <t>Contract YTM</t>
  </si>
  <si>
    <t>Checking:</t>
  </si>
  <si>
    <t>E[YLD]</t>
  </si>
  <si>
    <t>==&gt; Yld Degrad=</t>
  </si>
  <si>
    <t>&lt;== Based on pooled E[CFs].</t>
  </si>
  <si>
    <t>Cum.</t>
  </si>
  <si>
    <t>Uncondl</t>
  </si>
  <si>
    <t>Condl</t>
  </si>
  <si>
    <t>Condl CF given default in Yr:</t>
  </si>
  <si>
    <t>Uncondl E[CF] for default in yr:</t>
  </si>
  <si>
    <t>PMT#</t>
  </si>
  <si>
    <t>Hazard</t>
  </si>
  <si>
    <t>Condl Surv</t>
  </si>
  <si>
    <t>CumSurv</t>
  </si>
  <si>
    <t>Pr(Def)</t>
  </si>
  <si>
    <t>Yr</t>
  </si>
  <si>
    <t>Recovery%</t>
  </si>
  <si>
    <t>PMT</t>
  </si>
  <si>
    <t>E[CF]</t>
  </si>
  <si>
    <t>OLB</t>
  </si>
  <si>
    <t>AcceleratedCFs</t>
  </si>
  <si>
    <t>Uncondl Pr(Def)</t>
  </si>
  <si>
    <t>Condl YLD given default</t>
  </si>
  <si>
    <t>Condl YldDegr</t>
  </si>
  <si>
    <t>IRRs</t>
  </si>
  <si>
    <t>= E[YLD] based on YldDegrad formula.</t>
  </si>
  <si>
    <t>= E[YLD] based on YldDegrad formula (equivalent to above).</t>
  </si>
  <si>
    <t>&lt;== Based Yield Degradation Formula.</t>
  </si>
  <si>
    <r>
      <t>Note: E[YLD]=</t>
    </r>
    <r>
      <rPr>
        <i/>
        <sz val="10"/>
        <rFont val="Arial"/>
        <family val="2"/>
      </rPr>
      <t>E</t>
    </r>
    <r>
      <rPr>
        <sz val="10"/>
        <rFont val="Arial"/>
        <family val="2"/>
      </rPr>
      <t>[</t>
    </r>
    <r>
      <rPr>
        <i/>
        <sz val="10"/>
        <rFont val="Arial"/>
        <family val="2"/>
      </rPr>
      <t>r</t>
    </r>
    <r>
      <rPr>
        <sz val="10"/>
        <rFont val="Arial"/>
        <family val="2"/>
      </rPr>
      <t>]=</t>
    </r>
    <r>
      <rPr>
        <i/>
        <sz val="10"/>
        <rFont val="Arial"/>
        <family val="2"/>
      </rPr>
      <t>Expected Return</t>
    </r>
    <r>
      <rPr>
        <sz val="10"/>
        <rFont val="Arial"/>
        <family val="2"/>
      </rPr>
      <t xml:space="preserve"> (ex ante).</t>
    </r>
  </si>
  <si>
    <t>Note: Both methods of computing the expected return and ex ante yield degradation are equally correct from a theoretical perspective.</t>
  </si>
  <si>
    <t>The E[CFs]-based method (aka "pooled cash flows method") is technically more robust (can avoid mathematically non-existant IRR outcomes), hence may be more useful for analysis of specific loans at the micro level.</t>
  </si>
  <si>
    <t>The "Yield Degradation Formula" method (weighted avg IRRs) is more commonly employed in practice, and easier to use in aggregate studies where there is no one single loan being analyzed.</t>
  </si>
  <si>
    <t>Extends previous example to 30 years. Computes yield degradation only by traditional formula. (For more detailed and general analysis see next two worksheets.)</t>
  </si>
  <si>
    <t>ContractYLD</t>
  </si>
  <si>
    <t>Cumulative DefProb=</t>
  </si>
  <si>
    <t>Cumulative YldDegr=</t>
  </si>
  <si>
    <t>CondlYld</t>
  </si>
  <si>
    <t>Cond YldDegr</t>
  </si>
  <si>
    <t>UncondYDegre</t>
  </si>
  <si>
    <t>Condl ex post Yld given def in yr:</t>
  </si>
  <si>
    <t>YldDegr</t>
  </si>
  <si>
    <t>Condl YDEGR given def in yr:</t>
  </si>
  <si>
    <r>
      <t xml:space="preserve">Contractual Cash Flows, Typical Commercial Mortgage Amortization &amp; Maturity, Annual pmts. </t>
    </r>
    <r>
      <rPr>
        <sz val="9"/>
        <rFont val="Arial MT"/>
      </rPr>
      <t>(Or, enter your own inputs here…) This sheet is input for next sheet that calculates yield degradation for this loan.</t>
    </r>
  </si>
  <si>
    <t>Geltner-Miller Ch.18 Exhibits 18-1--18-2:</t>
  </si>
  <si>
    <t>Max loan term 30 Yrs</t>
  </si>
  <si>
    <t>Inputs</t>
  </si>
  <si>
    <t>Outputs</t>
  </si>
  <si>
    <t>Term</t>
  </si>
  <si>
    <t>Points</t>
  </si>
  <si>
    <t>PMT=</t>
  </si>
  <si>
    <t>LoanAmt</t>
  </si>
  <si>
    <t>PrepayPen</t>
  </si>
  <si>
    <t>YTM=</t>
  </si>
  <si>
    <t>ATYTM=</t>
  </si>
  <si>
    <t>IntRate</t>
  </si>
  <si>
    <t>HoldPer</t>
  </si>
  <si>
    <t>YLD=</t>
  </si>
  <si>
    <t>ATYLD=</t>
  </si>
  <si>
    <t>FV@Term</t>
  </si>
  <si>
    <t>Borrower's Tax Rate</t>
  </si>
  <si>
    <t>After Tax</t>
  </si>
  <si>
    <t>Annual Table</t>
  </si>
  <si>
    <t>CFs</t>
  </si>
  <si>
    <t>YTMCFs</t>
  </si>
  <si>
    <t>Int</t>
  </si>
  <si>
    <t>Prin</t>
  </si>
  <si>
    <t>EndBal</t>
  </si>
  <si>
    <t>*Note: E[CF] can exceed CF Due in a given year because of partial recovery of principle in default.</t>
  </si>
  <si>
    <r>
      <t xml:space="preserve">Conditional Cash Flows &amp; Yield Degradation, Based on Esaki et al (2002) Hazards, Typical Commercial Mortgage Amortization and Maturity </t>
    </r>
    <r>
      <rPr>
        <sz val="10"/>
        <rFont val="Arial"/>
        <family val="2"/>
      </rPr>
      <t>(from previous sheet)</t>
    </r>
    <r>
      <rPr>
        <b/>
        <sz val="10"/>
        <rFont val="Arial"/>
        <family val="2"/>
      </rPr>
      <t>.</t>
    </r>
  </si>
  <si>
    <t>Yield</t>
  </si>
  <si>
    <t>Duration</t>
  </si>
  <si>
    <t>Based on Stated CF</t>
  </si>
  <si>
    <t>Based on E[CF]</t>
  </si>
  <si>
    <t>Duration (Modified, not MaCaulay)</t>
  </si>
  <si>
    <t>Yld Degradation</t>
  </si>
  <si>
    <t xml:space="preserve"> </t>
  </si>
  <si>
    <t>Based on Yld Degrad Formula</t>
  </si>
  <si>
    <t>&lt;== Based on Yield Degradation Formula.</t>
  </si>
  <si>
    <t>Condl. Avg Time Until Default (In yrs., If Default):</t>
  </si>
  <si>
    <t>Cumulative</t>
  </si>
  <si>
    <t>years</t>
  </si>
  <si>
    <t>CF Due</t>
  </si>
  <si>
    <t>Accelerated</t>
  </si>
  <si>
    <t>Recovery</t>
  </si>
  <si>
    <t>Stated CF</t>
  </si>
  <si>
    <t>IRR</t>
  </si>
  <si>
    <t>YDEGR</t>
  </si>
  <si>
    <t>Product:</t>
  </si>
  <si>
    <t>Broker's numbers:</t>
  </si>
  <si>
    <t>Single-lease Cash Flow Proforma Projector &amp; Property Valuator /SF:</t>
  </si>
  <si>
    <t>Property Inputs:</t>
  </si>
  <si>
    <t>Loan Inputs:</t>
  </si>
  <si>
    <t>Outputs:</t>
  </si>
  <si>
    <t>ILTV@9%Cap</t>
  </si>
  <si>
    <t>Initial Mkt Rent=</t>
  </si>
  <si>
    <t>Loan Amt=</t>
  </si>
  <si>
    <t>PropVal(DirCap)=</t>
  </si>
  <si>
    <t>ILTV@10%DCF</t>
  </si>
  <si>
    <t>Mkt Rent Gro Rate=</t>
  </si>
  <si>
    <t>Loan Amort</t>
  </si>
  <si>
    <t>PropVal(DCF)=</t>
  </si>
  <si>
    <t>TLTV@10%Cap</t>
  </si>
  <si>
    <t>Reversion Cap=</t>
  </si>
  <si>
    <t>Loan Int=</t>
  </si>
  <si>
    <t>Vac mo, Prob=</t>
  </si>
  <si>
    <t>=Non-renew Prob</t>
  </si>
  <si>
    <t>Renew</t>
  </si>
  <si>
    <t>Notrenew</t>
  </si>
  <si>
    <t>EqBTIRR=</t>
  </si>
  <si>
    <t>Lease Commis</t>
  </si>
  <si>
    <t>TI</t>
  </si>
  <si>
    <t>Year:</t>
  </si>
  <si>
    <t>Year 11</t>
  </si>
  <si>
    <t>Mkt Rent (net) /SF</t>
  </si>
  <si>
    <t>Property Rent(net)</t>
  </si>
  <si>
    <t>Vacancy Allow</t>
  </si>
  <si>
    <t>NOI/SF</t>
  </si>
  <si>
    <t>NOI</t>
  </si>
  <si>
    <t>Lease Comm</t>
  </si>
  <si>
    <t>Ten.Imprv</t>
  </si>
  <si>
    <t>Reversion@10%Cap</t>
  </si>
  <si>
    <t>Less OLB</t>
  </si>
  <si>
    <t>PBTCF</t>
  </si>
  <si>
    <t>Debt Svc</t>
  </si>
  <si>
    <t>Mkt Rent(net)</t>
  </si>
  <si>
    <t>Rent Roll(net)</t>
  </si>
  <si>
    <t>Reversion</t>
  </si>
  <si>
    <t>EBTCF</t>
  </si>
  <si>
    <t>DCR</t>
  </si>
  <si>
    <t>BER @ Mkt</t>
  </si>
  <si>
    <t>"Hair-cut" numbers:</t>
  </si>
  <si>
    <t>This workbook is meant strictly for educational use. No liability is assumed for the content or usage of this educational tool.</t>
  </si>
  <si>
    <t>The following worksheets present some of the data, exhibits, and methodology discussed in Chapter 18 of the textbook.</t>
  </si>
  <si>
    <t>Exhibits 18-1 - 18-3…</t>
  </si>
  <si>
    <t>Source: Howard Esaki. “Commercial Mortgage Defaults: 1972-2000.” in Real Estate Finance 18(4), Winter 2002.</t>
  </si>
  <si>
    <t>Esaki data (% defaulting)</t>
  </si>
  <si>
    <t>2002 Study</t>
  </si>
  <si>
    <t>Def share</t>
  </si>
  <si>
    <t>RE Apprec</t>
  </si>
  <si>
    <t>Esaki et al (2002) Hazards</t>
  </si>
  <si>
    <t>If Default:</t>
  </si>
  <si>
    <t>This workbook is meant to accompany "Commercial Real Estate Analysis &amp; Investments", 3rd Edition, by D.Geltner &amp; N.Miller, © OnCourse Publishing Co.</t>
  </si>
  <si>
    <t>Source: John B Levy Co. (now IPD).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</si>
</sst>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0.0%"/>
    <numFmt numFmtId="165" formatCode="General_)"/>
    <numFmt numFmtId="166" formatCode="m/d/yy;@"/>
    <numFmt numFmtId="167" formatCode="0.0000"/>
    <numFmt numFmtId="168" formatCode="&quot;$&quot;#,##0.00"/>
    <numFmt numFmtId="169" formatCode="&quot;$&quot;#,##0"/>
    <numFmt numFmtId="170" formatCode="0.00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0"/>
      <name val="MS Sans Serif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sz val="12"/>
      <name val="Arial MT"/>
    </font>
    <font>
      <b/>
      <sz val="9"/>
      <name val="Arial MT"/>
    </font>
    <font>
      <sz val="9"/>
      <name val="Arial MT"/>
    </font>
    <font>
      <sz val="9"/>
      <color indexed="12"/>
      <name val="Arial MT"/>
    </font>
    <font>
      <sz val="10"/>
      <name val="Times New Roman"/>
      <family val="1"/>
    </font>
    <font>
      <b/>
      <i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5" fillId="0" borderId="0"/>
    <xf numFmtId="9" fontId="6" fillId="0" borderId="0" applyFont="0" applyFill="0" applyBorder="0" applyAlignment="0" applyProtection="0"/>
    <xf numFmtId="0" fontId="1" fillId="0" borderId="0"/>
    <xf numFmtId="0" fontId="9" fillId="0" borderId="0"/>
  </cellStyleXfs>
  <cellXfs count="125">
    <xf numFmtId="0" fontId="0" fillId="0" borderId="0" xfId="0"/>
    <xf numFmtId="10" fontId="4" fillId="0" borderId="0" xfId="0" applyNumberFormat="1" applyFont="1"/>
    <xf numFmtId="164" fontId="0" fillId="0" borderId="0" xfId="0" applyNumberFormat="1"/>
    <xf numFmtId="164" fontId="4" fillId="0" borderId="0" xfId="0" applyNumberFormat="1" applyFont="1"/>
    <xf numFmtId="165" fontId="1" fillId="0" borderId="0" xfId="1" applyFont="1"/>
    <xf numFmtId="165" fontId="5" fillId="0" borderId="0" xfId="1"/>
    <xf numFmtId="2" fontId="1" fillId="0" borderId="0" xfId="1" applyNumberFormat="1" applyFont="1"/>
    <xf numFmtId="166" fontId="1" fillId="0" borderId="0" xfId="1" applyNumberFormat="1" applyFont="1"/>
    <xf numFmtId="10" fontId="7" fillId="0" borderId="0" xfId="1" applyNumberFormat="1" applyFont="1"/>
    <xf numFmtId="10" fontId="1" fillId="0" borderId="0" xfId="1" applyNumberFormat="1" applyFont="1"/>
    <xf numFmtId="166" fontId="5" fillId="0" borderId="0" xfId="1" applyNumberFormat="1"/>
    <xf numFmtId="2" fontId="5" fillId="0" borderId="0" xfId="1" applyNumberFormat="1"/>
    <xf numFmtId="10" fontId="5" fillId="0" borderId="0" xfId="1" applyNumberFormat="1"/>
    <xf numFmtId="1" fontId="1" fillId="0" borderId="0" xfId="1" applyNumberFormat="1" applyFont="1"/>
    <xf numFmtId="0" fontId="3" fillId="0" borderId="0" xfId="3" applyFont="1"/>
    <xf numFmtId="0" fontId="1" fillId="0" borderId="0" xfId="3"/>
    <xf numFmtId="0" fontId="1" fillId="0" borderId="0" xfId="3" applyFont="1"/>
    <xf numFmtId="10" fontId="1" fillId="0" borderId="0" xfId="3" applyNumberFormat="1"/>
    <xf numFmtId="0" fontId="1" fillId="2" borderId="1" xfId="3" applyFill="1" applyBorder="1"/>
    <xf numFmtId="0" fontId="1" fillId="2" borderId="0" xfId="3" applyFill="1"/>
    <xf numFmtId="10" fontId="3" fillId="0" borderId="0" xfId="3" applyNumberFormat="1" applyFont="1"/>
    <xf numFmtId="164" fontId="1" fillId="2" borderId="1" xfId="3" applyNumberFormat="1" applyFill="1" applyBorder="1"/>
    <xf numFmtId="10" fontId="1" fillId="2" borderId="0" xfId="3" applyNumberFormat="1" applyFill="1"/>
    <xf numFmtId="1" fontId="1" fillId="0" borderId="0" xfId="3" applyNumberFormat="1"/>
    <xf numFmtId="0" fontId="3" fillId="3" borderId="0" xfId="3" quotePrefix="1" applyFont="1" applyFill="1" applyAlignment="1">
      <alignment horizontal="right"/>
    </xf>
    <xf numFmtId="10" fontId="3" fillId="3" borderId="0" xfId="3" applyNumberFormat="1" applyFont="1" applyFill="1"/>
    <xf numFmtId="0" fontId="3" fillId="0" borderId="0" xfId="3" quotePrefix="1" applyFont="1"/>
    <xf numFmtId="0" fontId="1" fillId="0" borderId="0" xfId="3" applyAlignment="1">
      <alignment horizontal="right"/>
    </xf>
    <xf numFmtId="0" fontId="1" fillId="2" borderId="1" xfId="3" applyFill="1" applyBorder="1" applyAlignment="1">
      <alignment horizontal="right"/>
    </xf>
    <xf numFmtId="0" fontId="1" fillId="2" borderId="0" xfId="3" applyFill="1" applyAlignment="1">
      <alignment horizontal="right"/>
    </xf>
    <xf numFmtId="1" fontId="1" fillId="2" borderId="0" xfId="3" applyNumberFormat="1" applyFill="1" applyBorder="1" applyAlignment="1">
      <alignment horizontal="right"/>
    </xf>
    <xf numFmtId="0" fontId="1" fillId="4" borderId="1" xfId="3" applyFill="1" applyBorder="1"/>
    <xf numFmtId="0" fontId="1" fillId="4" borderId="0" xfId="3" applyFill="1"/>
    <xf numFmtId="0" fontId="1" fillId="5" borderId="1" xfId="3" applyFill="1" applyBorder="1"/>
    <xf numFmtId="0" fontId="1" fillId="5" borderId="0" xfId="3" applyFill="1"/>
    <xf numFmtId="1" fontId="1" fillId="2" borderId="0" xfId="3" applyNumberFormat="1" applyFill="1"/>
    <xf numFmtId="2" fontId="1" fillId="2" borderId="0" xfId="3" applyNumberFormat="1" applyFill="1" applyBorder="1"/>
    <xf numFmtId="2" fontId="1" fillId="4" borderId="1" xfId="3" applyNumberFormat="1" applyFill="1" applyBorder="1"/>
    <xf numFmtId="2" fontId="1" fillId="4" borderId="0" xfId="3" applyNumberFormat="1" applyFill="1"/>
    <xf numFmtId="2" fontId="1" fillId="5" borderId="1" xfId="3" applyNumberFormat="1" applyFill="1" applyBorder="1"/>
    <xf numFmtId="2" fontId="1" fillId="5" borderId="0" xfId="3" applyNumberFormat="1" applyFill="1"/>
    <xf numFmtId="167" fontId="1" fillId="0" borderId="0" xfId="3" applyNumberFormat="1"/>
    <xf numFmtId="167" fontId="1" fillId="2" borderId="0" xfId="3" applyNumberFormat="1" applyFill="1"/>
    <xf numFmtId="9" fontId="1" fillId="2" borderId="0" xfId="3" applyNumberFormat="1" applyFill="1"/>
    <xf numFmtId="167" fontId="3" fillId="0" borderId="0" xfId="3" quotePrefix="1" applyNumberFormat="1" applyFont="1"/>
    <xf numFmtId="10" fontId="1" fillId="6" borderId="0" xfId="3" applyNumberFormat="1" applyFill="1"/>
    <xf numFmtId="0" fontId="1" fillId="0" borderId="1" xfId="3" applyBorder="1"/>
    <xf numFmtId="0" fontId="1" fillId="0" borderId="0" xfId="3" applyAlignment="1">
      <alignment horizontal="left"/>
    </xf>
    <xf numFmtId="0" fontId="1" fillId="0" borderId="1" xfId="3" applyBorder="1" applyAlignment="1">
      <alignment horizontal="right"/>
    </xf>
    <xf numFmtId="1" fontId="1" fillId="0" borderId="1" xfId="3" applyNumberFormat="1" applyBorder="1"/>
    <xf numFmtId="10" fontId="1" fillId="0" borderId="1" xfId="3" applyNumberFormat="1" applyBorder="1"/>
    <xf numFmtId="9" fontId="1" fillId="0" borderId="0" xfId="3" applyNumberFormat="1"/>
    <xf numFmtId="2" fontId="1" fillId="0" borderId="1" xfId="3" applyNumberFormat="1" applyBorder="1"/>
    <xf numFmtId="2" fontId="1" fillId="0" borderId="0" xfId="3" applyNumberFormat="1"/>
    <xf numFmtId="2" fontId="1" fillId="0" borderId="2" xfId="3" applyNumberFormat="1" applyBorder="1"/>
    <xf numFmtId="2" fontId="1" fillId="0" borderId="3" xfId="3" applyNumberFormat="1" applyBorder="1"/>
    <xf numFmtId="0" fontId="1" fillId="0" borderId="1" xfId="3" quotePrefix="1" applyBorder="1" applyAlignment="1">
      <alignment horizontal="right"/>
    </xf>
    <xf numFmtId="10" fontId="1" fillId="0" borderId="4" xfId="3" applyNumberFormat="1" applyBorder="1"/>
    <xf numFmtId="0" fontId="10" fillId="0" borderId="0" xfId="4" applyFont="1" applyAlignment="1" applyProtection="1">
      <alignment horizontal="left"/>
    </xf>
    <xf numFmtId="0" fontId="11" fillId="0" borderId="0" xfId="4" applyFont="1"/>
    <xf numFmtId="0" fontId="11" fillId="0" borderId="0" xfId="4" applyFont="1" applyAlignment="1" applyProtection="1">
      <alignment horizontal="left"/>
    </xf>
    <xf numFmtId="0" fontId="11" fillId="0" borderId="0" xfId="4" quotePrefix="1" applyFont="1" applyAlignment="1" applyProtection="1">
      <alignment horizontal="right"/>
    </xf>
    <xf numFmtId="10" fontId="11" fillId="0" borderId="0" xfId="4" applyNumberFormat="1" applyFont="1"/>
    <xf numFmtId="0" fontId="11" fillId="0" borderId="0" xfId="4" applyFont="1" applyAlignment="1" applyProtection="1">
      <alignment horizontal="right"/>
    </xf>
    <xf numFmtId="0" fontId="12" fillId="0" borderId="0" xfId="4" applyFont="1" applyProtection="1">
      <protection locked="0"/>
    </xf>
    <xf numFmtId="10" fontId="12" fillId="0" borderId="0" xfId="4" applyNumberFormat="1" applyFont="1" applyProtection="1">
      <protection locked="0"/>
    </xf>
    <xf numFmtId="1" fontId="11" fillId="0" borderId="0" xfId="4" applyNumberFormat="1" applyFont="1" applyProtection="1"/>
    <xf numFmtId="10" fontId="11" fillId="0" borderId="0" xfId="4" applyNumberFormat="1" applyFont="1" applyProtection="1"/>
    <xf numFmtId="0" fontId="11" fillId="0" borderId="0" xfId="4" applyFont="1" applyAlignment="1">
      <alignment horizontal="right"/>
    </xf>
    <xf numFmtId="1" fontId="12" fillId="0" borderId="0" xfId="4" applyNumberFormat="1" applyFont="1" applyProtection="1">
      <protection locked="0"/>
    </xf>
    <xf numFmtId="0" fontId="9" fillId="0" borderId="0" xfId="4"/>
    <xf numFmtId="0" fontId="11" fillId="0" borderId="0" xfId="4" applyFont="1" applyProtection="1"/>
    <xf numFmtId="1" fontId="11" fillId="0" borderId="0" xfId="4" applyNumberFormat="1" applyFont="1"/>
    <xf numFmtId="1" fontId="1" fillId="0" borderId="0" xfId="3" applyNumberFormat="1" applyAlignment="1">
      <alignment horizontal="left"/>
    </xf>
    <xf numFmtId="164" fontId="1" fillId="0" borderId="0" xfId="3" applyNumberFormat="1"/>
    <xf numFmtId="1" fontId="1" fillId="0" borderId="0" xfId="3" applyNumberFormat="1" applyAlignment="1">
      <alignment horizontal="right"/>
    </xf>
    <xf numFmtId="9" fontId="1" fillId="0" borderId="0" xfId="3" applyNumberFormat="1" applyAlignment="1">
      <alignment horizontal="right"/>
    </xf>
    <xf numFmtId="0" fontId="1" fillId="0" borderId="1" xfId="3" applyFill="1" applyBorder="1"/>
    <xf numFmtId="0" fontId="13" fillId="0" borderId="0" xfId="3" applyFont="1"/>
    <xf numFmtId="0" fontId="14" fillId="0" borderId="0" xfId="3" quotePrefix="1" applyFont="1" applyAlignment="1">
      <alignment horizontal="left"/>
    </xf>
    <xf numFmtId="0" fontId="15" fillId="0" borderId="0" xfId="3" quotePrefix="1" applyFont="1" applyAlignment="1">
      <alignment horizontal="left"/>
    </xf>
    <xf numFmtId="0" fontId="15" fillId="0" borderId="0" xfId="3" applyFont="1"/>
    <xf numFmtId="0" fontId="15" fillId="0" borderId="0" xfId="3" quotePrefix="1" applyFont="1" applyAlignment="1">
      <alignment horizontal="right"/>
    </xf>
    <xf numFmtId="0" fontId="15" fillId="0" borderId="0" xfId="3" applyFont="1" applyAlignment="1">
      <alignment horizontal="right"/>
    </xf>
    <xf numFmtId="0" fontId="15" fillId="0" borderId="0" xfId="3" applyFont="1" applyBorder="1"/>
    <xf numFmtId="9" fontId="16" fillId="0" borderId="0" xfId="3" applyNumberFormat="1" applyFont="1"/>
    <xf numFmtId="0" fontId="17" fillId="0" borderId="0" xfId="3" applyFont="1"/>
    <xf numFmtId="0" fontId="16" fillId="0" borderId="0" xfId="3" applyFont="1"/>
    <xf numFmtId="7" fontId="16" fillId="0" borderId="0" xfId="3" applyNumberFormat="1" applyFont="1"/>
    <xf numFmtId="0" fontId="16" fillId="0" borderId="0" xfId="3" applyFont="1" applyAlignment="1">
      <alignment horizontal="right"/>
    </xf>
    <xf numFmtId="168" fontId="16" fillId="0" borderId="0" xfId="3" applyNumberFormat="1" applyFont="1"/>
    <xf numFmtId="5" fontId="16" fillId="0" borderId="0" xfId="3" applyNumberFormat="1" applyFont="1"/>
    <xf numFmtId="10" fontId="16" fillId="0" borderId="0" xfId="3" applyNumberFormat="1" applyFont="1"/>
    <xf numFmtId="8" fontId="16" fillId="0" borderId="0" xfId="3" applyNumberFormat="1" applyFont="1"/>
    <xf numFmtId="0" fontId="16" fillId="0" borderId="0" xfId="3" quotePrefix="1" applyFont="1"/>
    <xf numFmtId="0" fontId="15" fillId="0" borderId="5" xfId="3" quotePrefix="1" applyFont="1" applyBorder="1" applyAlignment="1">
      <alignment horizontal="right"/>
    </xf>
    <xf numFmtId="0" fontId="15" fillId="0" borderId="6" xfId="3" applyFont="1" applyBorder="1" applyAlignment="1">
      <alignment horizontal="right"/>
    </xf>
    <xf numFmtId="0" fontId="15" fillId="0" borderId="7" xfId="3" applyFont="1" applyBorder="1" applyAlignment="1">
      <alignment horizontal="right"/>
    </xf>
    <xf numFmtId="0" fontId="15" fillId="0" borderId="8" xfId="3" applyFont="1" applyBorder="1"/>
    <xf numFmtId="7" fontId="15" fillId="0" borderId="0" xfId="3" applyNumberFormat="1" applyFont="1"/>
    <xf numFmtId="169" fontId="15" fillId="0" borderId="0" xfId="3" applyNumberFormat="1" applyFont="1"/>
    <xf numFmtId="5" fontId="15" fillId="0" borderId="0" xfId="3" applyNumberFormat="1" applyFont="1"/>
    <xf numFmtId="5" fontId="15" fillId="0" borderId="0" xfId="3" applyNumberFormat="1" applyFont="1" applyBorder="1"/>
    <xf numFmtId="9" fontId="15" fillId="0" borderId="0" xfId="3" applyNumberFormat="1" applyFont="1" applyBorder="1"/>
    <xf numFmtId="169" fontId="16" fillId="0" borderId="0" xfId="3" applyNumberFormat="1" applyFont="1"/>
    <xf numFmtId="10" fontId="13" fillId="0" borderId="0" xfId="3" applyNumberFormat="1" applyFont="1"/>
    <xf numFmtId="0" fontId="17" fillId="0" borderId="5" xfId="3" quotePrefix="1" applyFont="1" applyBorder="1" applyAlignment="1">
      <alignment horizontal="right"/>
    </xf>
    <xf numFmtId="0" fontId="17" fillId="0" borderId="6" xfId="3" applyFont="1" applyBorder="1" applyAlignment="1">
      <alignment horizontal="right"/>
    </xf>
    <xf numFmtId="0" fontId="17" fillId="0" borderId="7" xfId="3" applyFont="1" applyBorder="1" applyAlignment="1">
      <alignment horizontal="right"/>
    </xf>
    <xf numFmtId="0" fontId="17" fillId="0" borderId="0" xfId="3" applyFont="1" applyAlignment="1">
      <alignment horizontal="right"/>
    </xf>
    <xf numFmtId="0" fontId="17" fillId="0" borderId="8" xfId="3" applyFont="1" applyBorder="1"/>
    <xf numFmtId="7" fontId="13" fillId="0" borderId="0" xfId="3" applyNumberFormat="1" applyFont="1" applyBorder="1"/>
    <xf numFmtId="7" fontId="13" fillId="0" borderId="9" xfId="3" applyNumberFormat="1" applyFont="1" applyBorder="1"/>
    <xf numFmtId="7" fontId="13" fillId="0" borderId="0" xfId="3" applyNumberFormat="1" applyFont="1"/>
    <xf numFmtId="0" fontId="17" fillId="0" borderId="10" xfId="3" applyFont="1" applyBorder="1"/>
    <xf numFmtId="7" fontId="13" fillId="0" borderId="11" xfId="3" applyNumberFormat="1" applyFont="1" applyBorder="1"/>
    <xf numFmtId="7" fontId="13" fillId="0" borderId="12" xfId="3" applyNumberFormat="1" applyFont="1" applyBorder="1"/>
    <xf numFmtId="9" fontId="13" fillId="0" borderId="0" xfId="3" applyNumberFormat="1" applyFont="1" applyBorder="1"/>
    <xf numFmtId="9" fontId="13" fillId="0" borderId="9" xfId="3" applyNumberFormat="1" applyFont="1" applyBorder="1"/>
    <xf numFmtId="9" fontId="13" fillId="0" borderId="0" xfId="3" applyNumberFormat="1" applyFont="1"/>
    <xf numFmtId="0" fontId="2" fillId="0" borderId="0" xfId="3" applyFont="1"/>
    <xf numFmtId="170" fontId="2" fillId="0" borderId="0" xfId="3" applyNumberFormat="1" applyFont="1"/>
    <xf numFmtId="2" fontId="2" fillId="0" borderId="0" xfId="3" applyNumberFormat="1" applyFont="1"/>
    <xf numFmtId="164" fontId="2" fillId="0" borderId="0" xfId="3" applyNumberFormat="1" applyFont="1"/>
    <xf numFmtId="167" fontId="2" fillId="0" borderId="0" xfId="3" applyNumberFormat="1" applyFont="1"/>
  </cellXfs>
  <cellStyles count="5">
    <cellStyle name="Normal" xfId="0" builtinId="0"/>
    <cellStyle name="Normal 2" xfId="1"/>
    <cellStyle name="Normal 3" xfId="3"/>
    <cellStyle name="Normal_phgel17schedpmt" xfId="4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Typical Commercial Mortgage Hazard Rates*</a:t>
            </a:r>
          </a:p>
        </c:rich>
      </c:tx>
      <c:layout>
        <c:manualLayout>
          <c:xMode val="edge"/>
          <c:yMode val="edge"/>
          <c:x val="0.21161072875831263"/>
          <c:y val="1.699029629614267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730355058140061"/>
          <c:y val="0.13592237036914134"/>
          <c:w val="0.80711702738790048"/>
          <c:h val="0.66747592591989069"/>
        </c:manualLayout>
      </c:layout>
      <c:barChart>
        <c:barDir val="col"/>
        <c:grouping val="clustered"/>
        <c:ser>
          <c:idx val="1"/>
          <c:order val="0"/>
          <c:tx>
            <c:strRef>
              <c:f>'Esaki Haz Calcs'!$B$5</c:f>
              <c:strCache>
                <c:ptCount val="1"/>
                <c:pt idx="0">
                  <c:v>Hazard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'Esaki Haz Calcs'!$A$6:$A$30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'Esaki Haz Calcs'!$B$6:$B$30</c:f>
              <c:numCache>
                <c:formatCode>0.0000</c:formatCode>
                <c:ptCount val="25"/>
                <c:pt idx="0">
                  <c:v>3.3E-3</c:v>
                </c:pt>
                <c:pt idx="1">
                  <c:v>1.1900000000000001E-2</c:v>
                </c:pt>
                <c:pt idx="2">
                  <c:v>1.6400000000000001E-2</c:v>
                </c:pt>
                <c:pt idx="3">
                  <c:v>1.7100000000000001E-2</c:v>
                </c:pt>
                <c:pt idx="4">
                  <c:v>1.67E-2</c:v>
                </c:pt>
                <c:pt idx="5">
                  <c:v>1.8100000000000002E-2</c:v>
                </c:pt>
                <c:pt idx="6">
                  <c:v>1.66E-2</c:v>
                </c:pt>
                <c:pt idx="7">
                  <c:v>1.0800000000000001E-2</c:v>
                </c:pt>
                <c:pt idx="8">
                  <c:v>9.5999999999999992E-3</c:v>
                </c:pt>
                <c:pt idx="9">
                  <c:v>7.1999999999999998E-3</c:v>
                </c:pt>
                <c:pt idx="10">
                  <c:v>6.8999999999999999E-3</c:v>
                </c:pt>
                <c:pt idx="11">
                  <c:v>5.4999999999999997E-3</c:v>
                </c:pt>
                <c:pt idx="12">
                  <c:v>5.1000000000000004E-3</c:v>
                </c:pt>
                <c:pt idx="13">
                  <c:v>4.3E-3</c:v>
                </c:pt>
                <c:pt idx="14">
                  <c:v>3.0999999999999999E-3</c:v>
                </c:pt>
                <c:pt idx="15">
                  <c:v>4.3E-3</c:v>
                </c:pt>
                <c:pt idx="16">
                  <c:v>3.7000000000000002E-3</c:v>
                </c:pt>
                <c:pt idx="17">
                  <c:v>1.8E-3</c:v>
                </c:pt>
                <c:pt idx="18">
                  <c:v>1.4E-3</c:v>
                </c:pt>
                <c:pt idx="19">
                  <c:v>2E-3</c:v>
                </c:pt>
                <c:pt idx="20">
                  <c:v>1.1999999999999999E-3</c:v>
                </c:pt>
                <c:pt idx="21">
                  <c:v>4.0000000000000002E-4</c:v>
                </c:pt>
                <c:pt idx="22">
                  <c:v>1E-4</c:v>
                </c:pt>
                <c:pt idx="23">
                  <c:v>2.0000000000000001E-4</c:v>
                </c:pt>
                <c:pt idx="24">
                  <c:v>0</c:v>
                </c:pt>
              </c:numCache>
            </c:numRef>
          </c:val>
        </c:ser>
        <c:dLbls/>
        <c:axId val="56386304"/>
        <c:axId val="56388224"/>
      </c:barChart>
      <c:catAx>
        <c:axId val="563863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Loan Life Year </a:t>
                </a:r>
              </a:p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25" b="0" i="0" u="none" strike="noStrike" baseline="0">
                    <a:solidFill>
                      <a:srgbClr val="000000"/>
                    </a:solidFill>
                    <a:latin typeface="Courier New"/>
                    <a:cs typeface="Courier New"/>
                  </a:rPr>
                  <a:t>*Source: Esaki et al (2002)</a:t>
                </a:r>
              </a:p>
            </c:rich>
          </c:tx>
          <c:layout>
            <c:manualLayout>
              <c:xMode val="edge"/>
              <c:yMode val="edge"/>
              <c:x val="0.35393298880815127"/>
              <c:y val="0.88106822221425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388224"/>
        <c:crosses val="autoZero"/>
        <c:auto val="1"/>
        <c:lblAlgn val="ctr"/>
        <c:lblOffset val="100"/>
        <c:tickLblSkip val="2"/>
        <c:tickMarkSkip val="1"/>
      </c:catAx>
      <c:valAx>
        <c:axId val="5638822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Conditional Default Probability</a:t>
                </a:r>
              </a:p>
            </c:rich>
          </c:tx>
          <c:layout>
            <c:manualLayout>
              <c:xMode val="edge"/>
              <c:yMode val="edge"/>
              <c:x val="2.6217258430233429E-2"/>
              <c:y val="0.20631074073887526"/>
            </c:manualLayout>
          </c:layout>
          <c:spPr>
            <a:noFill/>
            <a:ln w="25400">
              <a:noFill/>
            </a:ln>
          </c:spPr>
        </c:title>
        <c:numFmt formatCode="0.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386304"/>
        <c:crosses val="autoZero"/>
        <c:crossBetween val="between"/>
      </c:valAx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Typical Commercial Mortgage Survival Rates*</a:t>
            </a:r>
          </a:p>
        </c:rich>
      </c:tx>
      <c:layout>
        <c:manualLayout>
          <c:xMode val="edge"/>
          <c:yMode val="edge"/>
          <c:x val="0.20298002338209267"/>
          <c:y val="3.623193747396052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59818444392974"/>
          <c:y val="0.14492774989584206"/>
          <c:w val="0.79888467918273154"/>
          <c:h val="0.68840681200524967"/>
        </c:manualLayout>
      </c:layout>
      <c:lineChart>
        <c:grouping val="standard"/>
        <c:ser>
          <c:idx val="3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'Esaki Haz Calcs'!$A$6:$A$30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'Esaki Haz Calcs'!$D$6:$D$30</c:f>
              <c:numCache>
                <c:formatCode>0.0000</c:formatCode>
                <c:ptCount val="25"/>
                <c:pt idx="0">
                  <c:v>0.99670000000000003</c:v>
                </c:pt>
                <c:pt idx="1">
                  <c:v>0.98483927000000004</c:v>
                </c:pt>
                <c:pt idx="2">
                  <c:v>0.96868790597200005</c:v>
                </c:pt>
                <c:pt idx="3">
                  <c:v>0.95212334277987887</c:v>
                </c:pt>
                <c:pt idx="4">
                  <c:v>0.93622288295545486</c:v>
                </c:pt>
                <c:pt idx="5">
                  <c:v>0.91927724877396111</c:v>
                </c:pt>
                <c:pt idx="6">
                  <c:v>0.90401724644431336</c:v>
                </c:pt>
                <c:pt idx="7">
                  <c:v>0.8942538601827148</c:v>
                </c:pt>
                <c:pt idx="8">
                  <c:v>0.88566902312496065</c:v>
                </c:pt>
                <c:pt idx="9">
                  <c:v>0.87929220615846093</c:v>
                </c:pt>
                <c:pt idx="10">
                  <c:v>0.87322508993596759</c:v>
                </c:pt>
                <c:pt idx="11">
                  <c:v>0.86842235194131978</c:v>
                </c:pt>
                <c:pt idx="12">
                  <c:v>0.86399339794641905</c:v>
                </c:pt>
                <c:pt idx="13">
                  <c:v>0.86027822633524953</c:v>
                </c:pt>
                <c:pt idx="14">
                  <c:v>0.85761136383361025</c:v>
                </c:pt>
                <c:pt idx="15">
                  <c:v>0.85392363496912571</c:v>
                </c:pt>
                <c:pt idx="16">
                  <c:v>0.8507641175197399</c:v>
                </c:pt>
                <c:pt idx="17">
                  <c:v>0.84923274210820432</c:v>
                </c:pt>
                <c:pt idx="18">
                  <c:v>0.84804381626925285</c:v>
                </c:pt>
                <c:pt idx="19">
                  <c:v>0.84634772863671437</c:v>
                </c:pt>
                <c:pt idx="20">
                  <c:v>0.84533211136235031</c:v>
                </c:pt>
                <c:pt idx="21">
                  <c:v>0.84499397851780544</c:v>
                </c:pt>
                <c:pt idx="22">
                  <c:v>0.84490947911995362</c:v>
                </c:pt>
                <c:pt idx="23">
                  <c:v>0.84474049722412969</c:v>
                </c:pt>
                <c:pt idx="24">
                  <c:v>0.84474049722412969</c:v>
                </c:pt>
              </c:numCache>
            </c:numRef>
          </c:val>
        </c:ser>
        <c:dLbls/>
        <c:marker val="1"/>
        <c:axId val="62130816"/>
        <c:axId val="62149376"/>
      </c:lineChart>
      <c:catAx>
        <c:axId val="62130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Loan Life Year</a:t>
                </a:r>
              </a:p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25" b="0" i="0" u="none" strike="noStrike" baseline="0">
                    <a:solidFill>
                      <a:srgbClr val="000000"/>
                    </a:solidFill>
                    <a:latin typeface="Courier New"/>
                    <a:cs typeface="Courier New"/>
                  </a:rPr>
                  <a:t>*Source: Esaki at al (2002)</a:t>
                </a:r>
              </a:p>
            </c:rich>
          </c:tx>
          <c:layout>
            <c:manualLayout>
              <c:xMode val="edge"/>
              <c:yMode val="edge"/>
              <c:x val="0.36126719757913739"/>
              <c:y val="0.8816438118663724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49376"/>
        <c:crosses val="autoZero"/>
        <c:auto val="1"/>
        <c:lblAlgn val="ctr"/>
        <c:lblOffset val="100"/>
        <c:tickLblSkip val="2"/>
        <c:tickMarkSkip val="1"/>
      </c:catAx>
      <c:valAx>
        <c:axId val="62149376"/>
        <c:scaling>
          <c:orientation val="minMax"/>
          <c:max val="1"/>
          <c:min val="0.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Cumulative Survival Probability</a:t>
                </a:r>
              </a:p>
            </c:rich>
          </c:tx>
          <c:layout>
            <c:manualLayout>
              <c:xMode val="edge"/>
              <c:yMode val="edge"/>
              <c:x val="4.4692849185047907E-2"/>
              <c:y val="0.2198070873420271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30816"/>
        <c:crosses val="autoZero"/>
        <c:crossBetween val="between"/>
      </c:valAx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Lifetime default rates &amp; property values</a:t>
            </a:r>
          </a:p>
        </c:rich>
      </c:tx>
      <c:layout>
        <c:manualLayout>
          <c:xMode val="edge"/>
          <c:yMode val="edge"/>
          <c:x val="0.25626234375746049"/>
          <c:y val="3.55555748456894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79963322414418"/>
          <c:y val="0.16222231023345823"/>
          <c:w val="0.6820817269935413"/>
          <c:h val="0.64000034722241061"/>
        </c:manualLayout>
      </c:layout>
      <c:barChart>
        <c:barDir val="col"/>
        <c:grouping val="clustered"/>
        <c:ser>
          <c:idx val="1"/>
          <c:order val="0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'Esaki Data'!$A$6:$A$31</c:f>
              <c:numCache>
                <c:formatCode>General</c:formatCode>
                <c:ptCount val="26"/>
                <c:pt idx="0">
                  <c:v>72</c:v>
                </c:pt>
                <c:pt idx="1">
                  <c:v>73</c:v>
                </c:pt>
                <c:pt idx="2">
                  <c:v>74</c:v>
                </c:pt>
                <c:pt idx="3">
                  <c:v>75</c:v>
                </c:pt>
                <c:pt idx="4">
                  <c:v>76</c:v>
                </c:pt>
                <c:pt idx="5">
                  <c:v>77</c:v>
                </c:pt>
                <c:pt idx="6">
                  <c:v>78</c:v>
                </c:pt>
                <c:pt idx="7">
                  <c:v>79</c:v>
                </c:pt>
                <c:pt idx="8">
                  <c:v>80</c:v>
                </c:pt>
                <c:pt idx="9">
                  <c:v>81</c:v>
                </c:pt>
                <c:pt idx="10">
                  <c:v>82</c:v>
                </c:pt>
                <c:pt idx="11">
                  <c:v>83</c:v>
                </c:pt>
                <c:pt idx="12">
                  <c:v>84</c:v>
                </c:pt>
                <c:pt idx="13">
                  <c:v>85</c:v>
                </c:pt>
                <c:pt idx="14">
                  <c:v>86</c:v>
                </c:pt>
                <c:pt idx="15">
                  <c:v>87</c:v>
                </c:pt>
                <c:pt idx="16">
                  <c:v>88</c:v>
                </c:pt>
                <c:pt idx="17">
                  <c:v>89</c:v>
                </c:pt>
                <c:pt idx="18">
                  <c:v>90</c:v>
                </c:pt>
                <c:pt idx="19">
                  <c:v>91</c:v>
                </c:pt>
                <c:pt idx="20">
                  <c:v>92</c:v>
                </c:pt>
                <c:pt idx="21">
                  <c:v>93</c:v>
                </c:pt>
                <c:pt idx="22">
                  <c:v>94</c:v>
                </c:pt>
                <c:pt idx="23">
                  <c:v>95</c:v>
                </c:pt>
                <c:pt idx="24">
                  <c:v>96</c:v>
                </c:pt>
                <c:pt idx="25">
                  <c:v>97</c:v>
                </c:pt>
              </c:numCache>
            </c:numRef>
          </c:cat>
          <c:val>
            <c:numRef>
              <c:f>'Esaki Data'!$B$6:$B$31</c:f>
              <c:numCache>
                <c:formatCode>0.0%</c:formatCode>
                <c:ptCount val="26"/>
                <c:pt idx="0">
                  <c:v>0.19500000000000001</c:v>
                </c:pt>
                <c:pt idx="1">
                  <c:v>0.19800000000000001</c:v>
                </c:pt>
                <c:pt idx="2">
                  <c:v>0.17599999999999999</c:v>
                </c:pt>
                <c:pt idx="3">
                  <c:v>0.161</c:v>
                </c:pt>
                <c:pt idx="4">
                  <c:v>0.113</c:v>
                </c:pt>
                <c:pt idx="5">
                  <c:v>9.2999999999999999E-2</c:v>
                </c:pt>
                <c:pt idx="6">
                  <c:v>0.11799999999999999</c:v>
                </c:pt>
                <c:pt idx="7">
                  <c:v>0.14000000000000001</c:v>
                </c:pt>
                <c:pt idx="8">
                  <c:v>0.17799999999999999</c:v>
                </c:pt>
                <c:pt idx="9">
                  <c:v>0.2</c:v>
                </c:pt>
                <c:pt idx="10">
                  <c:v>0.22</c:v>
                </c:pt>
                <c:pt idx="11">
                  <c:v>0.182</c:v>
                </c:pt>
                <c:pt idx="12">
                  <c:v>0.23799999999999999</c:v>
                </c:pt>
                <c:pt idx="13">
                  <c:v>0.20499999999999999</c:v>
                </c:pt>
                <c:pt idx="14">
                  <c:v>0.27700000000000002</c:v>
                </c:pt>
                <c:pt idx="15">
                  <c:v>0.23499999999999999</c:v>
                </c:pt>
                <c:pt idx="16">
                  <c:v>0.214</c:v>
                </c:pt>
                <c:pt idx="17">
                  <c:v>0.185</c:v>
                </c:pt>
                <c:pt idx="18">
                  <c:v>0.17599999999999999</c:v>
                </c:pt>
                <c:pt idx="19">
                  <c:v>7.9000000000000001E-2</c:v>
                </c:pt>
                <c:pt idx="20">
                  <c:v>4.7E-2</c:v>
                </c:pt>
                <c:pt idx="21">
                  <c:v>2.9000000000000001E-2</c:v>
                </c:pt>
                <c:pt idx="22">
                  <c:v>1.9E-2</c:v>
                </c:pt>
                <c:pt idx="23">
                  <c:v>1.4E-2</c:v>
                </c:pt>
                <c:pt idx="24">
                  <c:v>8.0000000000000002E-3</c:v>
                </c:pt>
                <c:pt idx="25">
                  <c:v>1E-3</c:v>
                </c:pt>
              </c:numCache>
            </c:numRef>
          </c:val>
        </c:ser>
        <c:dLbls/>
        <c:axId val="78859264"/>
        <c:axId val="78865536"/>
      </c:barChart>
      <c:lineChart>
        <c:grouping val="standard"/>
        <c:ser>
          <c:idx val="0"/>
          <c:order val="1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'Esaki Data'!$C$6:$C$31</c:f>
              <c:numCache>
                <c:formatCode>0.00</c:formatCode>
                <c:ptCount val="26"/>
                <c:pt idx="0">
                  <c:v>0.96520000000000006</c:v>
                </c:pt>
                <c:pt idx="1">
                  <c:v>0.96394524000000004</c:v>
                </c:pt>
                <c:pt idx="2">
                  <c:v>0.85174201406399996</c:v>
                </c:pt>
                <c:pt idx="3">
                  <c:v>0.81988686273800637</c:v>
                </c:pt>
                <c:pt idx="4">
                  <c:v>0.95410234216821799</c:v>
                </c:pt>
                <c:pt idx="5">
                  <c:v>0.98988117999952629</c:v>
                </c:pt>
                <c:pt idx="6">
                  <c:v>1.1267817471934609</c:v>
                </c:pt>
                <c:pt idx="7">
                  <c:v>1.316869827944998</c:v>
                </c:pt>
                <c:pt idx="8">
                  <c:v>1.4309107550450348</c:v>
                </c:pt>
                <c:pt idx="9">
                  <c:v>1.6569946543421503</c:v>
                </c:pt>
                <c:pt idx="10">
                  <c:v>1.5300688638195417</c:v>
                </c:pt>
                <c:pt idx="11">
                  <c:v>1.6510973109476674</c:v>
                </c:pt>
                <c:pt idx="12">
                  <c:v>1.7910278080504825</c:v>
                </c:pt>
                <c:pt idx="13">
                  <c:v>1.8280125322867251</c:v>
                </c:pt>
                <c:pt idx="14">
                  <c:v>1.770064535013236</c:v>
                </c:pt>
                <c:pt idx="15">
                  <c:v>1.7468766896045627</c:v>
                </c:pt>
                <c:pt idx="16">
                  <c:v>1.7943043917273265</c:v>
                </c:pt>
                <c:pt idx="17">
                  <c:v>1.7661338127772073</c:v>
                </c:pt>
                <c:pt idx="18">
                  <c:v>1.5705344930121314</c:v>
                </c:pt>
                <c:pt idx="19">
                  <c:v>1.3088834464763104</c:v>
                </c:pt>
                <c:pt idx="20">
                  <c:v>1.2274054519331601</c:v>
                </c:pt>
                <c:pt idx="21">
                  <c:v>1.2821477350893791</c:v>
                </c:pt>
                <c:pt idx="22">
                  <c:v>1.4053621324314685</c:v>
                </c:pt>
                <c:pt idx="23">
                  <c:v>1.4562362416254877</c:v>
                </c:pt>
                <c:pt idx="24">
                  <c:v>1.5790697686065975</c:v>
                </c:pt>
                <c:pt idx="25">
                  <c:v>1.7657158152558976</c:v>
                </c:pt>
              </c:numCache>
            </c:numRef>
          </c:val>
        </c:ser>
        <c:dLbls/>
        <c:marker val="1"/>
        <c:axId val="78867456"/>
        <c:axId val="78877440"/>
      </c:lineChart>
      <c:catAx>
        <c:axId val="788592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Year of loan origination </a:t>
                </a:r>
              </a:p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*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Esaki (2002), </a:t>
                </a:r>
                <a:r>
                  <a:rPr lang="en-US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**</a:t>
                </a: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NCREIF (unsmoothed)</a:t>
                </a:r>
              </a:p>
            </c:rich>
          </c:tx>
          <c:layout>
            <c:manualLayout>
              <c:xMode val="edge"/>
              <c:yMode val="edge"/>
              <c:x val="0.2678230509946391"/>
              <c:y val="0.871111583719392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65536"/>
        <c:crosses val="autoZero"/>
        <c:lblAlgn val="ctr"/>
        <c:lblOffset val="100"/>
        <c:tickLblSkip val="2"/>
        <c:tickMarkSkip val="1"/>
      </c:catAx>
      <c:valAx>
        <c:axId val="78865536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Lifetime default rate*</a:t>
                </a:r>
              </a:p>
            </c:rich>
          </c:tx>
          <c:layout>
            <c:manualLayout>
              <c:xMode val="edge"/>
              <c:yMode val="edge"/>
              <c:x val="3.6608906251065776E-2"/>
              <c:y val="0.32888906732262796"/>
            </c:manualLayout>
          </c:layout>
          <c:spPr>
            <a:noFill/>
            <a:ln w="25400">
              <a:noFill/>
            </a:ln>
          </c:spPr>
        </c:title>
        <c:numFmt formatCode="0%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59264"/>
        <c:crosses val="autoZero"/>
        <c:crossBetween val="between"/>
      </c:valAx>
      <c:catAx>
        <c:axId val="78867456"/>
        <c:scaling>
          <c:orientation val="minMax"/>
        </c:scaling>
        <c:delete val="1"/>
        <c:axPos val="b"/>
        <c:tickLblPos val="none"/>
        <c:crossAx val="78877440"/>
        <c:crosses val="autoZero"/>
        <c:lblAlgn val="ctr"/>
        <c:lblOffset val="100"/>
      </c:catAx>
      <c:valAx>
        <c:axId val="78877440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Property value index**</a:t>
                </a:r>
              </a:p>
            </c:rich>
          </c:tx>
          <c:layout>
            <c:manualLayout>
              <c:xMode val="edge"/>
              <c:yMode val="edge"/>
              <c:x val="0.9210030098952332"/>
              <c:y val="0.32000017361120536"/>
            </c:manualLayout>
          </c:layout>
          <c:spPr>
            <a:noFill/>
            <a:ln w="25400">
              <a:noFill/>
            </a:ln>
          </c:spPr>
        </c:title>
        <c:numFmt formatCode="0.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867456"/>
        <c:crosses val="max"/>
        <c:crossBetween val="between"/>
        <c:majorUnit val="0.5"/>
      </c:valAx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1"/>
  <c:chart>
    <c:title>
      <c:tx>
        <c:rich>
          <a:bodyPr/>
          <a:lstStyle/>
          <a:p>
            <a:pPr>
              <a:defRPr sz="1400" b="0"/>
            </a:pPr>
            <a:r>
              <a:rPr lang="en-US" sz="1400" b="0"/>
              <a:t>Default Rate in Outstanding Loans By Lender: 1990-2010*</a:t>
            </a:r>
          </a:p>
        </c:rich>
      </c:tx>
      <c:layout>
        <c:manualLayout>
          <c:xMode val="edge"/>
          <c:yMode val="edge"/>
          <c:x val="0.14156147858008389"/>
          <c:y val="3.6330608537693027E-3"/>
        </c:manualLayout>
      </c:layout>
      <c:overlay val="1"/>
      <c:spPr>
        <a:solidFill>
          <a:schemeClr val="bg1"/>
        </a:solidFill>
      </c:spPr>
    </c:title>
    <c:plotArea>
      <c:layout/>
      <c:lineChart>
        <c:grouping val="standard"/>
        <c:ser>
          <c:idx val="0"/>
          <c:order val="0"/>
          <c:tx>
            <c:strRef>
              <c:f>'Exh18-4'!$B$21</c:f>
              <c:strCache>
                <c:ptCount val="1"/>
                <c:pt idx="0">
                  <c:v>Banks &amp; Thrifts (90+days)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'Exh18-4'!$A$22:$A$42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'Exh18-4'!$B$22:$B$42</c:f>
              <c:numCache>
                <c:formatCode>0.0%</c:formatCode>
                <c:ptCount val="21"/>
                <c:pt idx="0">
                  <c:v>6.6000000000000003E-2</c:v>
                </c:pt>
                <c:pt idx="1">
                  <c:v>0.06</c:v>
                </c:pt>
                <c:pt idx="2">
                  <c:v>0.05</c:v>
                </c:pt>
                <c:pt idx="3">
                  <c:v>3.5000000000000003E-2</c:v>
                </c:pt>
                <c:pt idx="4">
                  <c:v>2.8000000000000001E-2</c:v>
                </c:pt>
                <c:pt idx="5">
                  <c:v>0.02</c:v>
                </c:pt>
                <c:pt idx="6">
                  <c:v>1.6E-2</c:v>
                </c:pt>
                <c:pt idx="7">
                  <c:v>1.2E-2</c:v>
                </c:pt>
                <c:pt idx="8">
                  <c:v>8.9999999999999993E-3</c:v>
                </c:pt>
                <c:pt idx="9">
                  <c:v>7.0000000000000001E-3</c:v>
                </c:pt>
                <c:pt idx="10">
                  <c:v>7.0000000000000001E-3</c:v>
                </c:pt>
                <c:pt idx="11">
                  <c:v>8.9999999999999993E-3</c:v>
                </c:pt>
                <c:pt idx="12">
                  <c:v>8.9999999999999993E-3</c:v>
                </c:pt>
                <c:pt idx="13">
                  <c:v>8.0000000000000002E-3</c:v>
                </c:pt>
                <c:pt idx="14">
                  <c:v>6.0000000000000001E-3</c:v>
                </c:pt>
                <c:pt idx="15">
                  <c:v>5.0000000000000001E-3</c:v>
                </c:pt>
                <c:pt idx="16">
                  <c:v>6.0000000000000001E-3</c:v>
                </c:pt>
                <c:pt idx="17">
                  <c:v>8.5000000000000006E-3</c:v>
                </c:pt>
                <c:pt idx="18">
                  <c:v>1.66E-2</c:v>
                </c:pt>
                <c:pt idx="19">
                  <c:v>3.9399999999999998E-2</c:v>
                </c:pt>
                <c:pt idx="20">
                  <c:v>4.1799999999999997E-2</c:v>
                </c:pt>
              </c:numCache>
            </c:numRef>
          </c:val>
        </c:ser>
        <c:ser>
          <c:idx val="1"/>
          <c:order val="1"/>
          <c:tx>
            <c:strRef>
              <c:f>'Exh18-4'!$C$21</c:f>
              <c:strCache>
                <c:ptCount val="1"/>
                <c:pt idx="0">
                  <c:v>CMBS(30+days&amp;REO)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'Exh18-4'!$A$22:$A$42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'Exh18-4'!$C$22:$C$42</c:f>
              <c:numCache>
                <c:formatCode>0.0%</c:formatCode>
                <c:ptCount val="21"/>
                <c:pt idx="7">
                  <c:v>4.0000000000000001E-3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8.0000000000000002E-3</c:v>
                </c:pt>
                <c:pt idx="11">
                  <c:v>1.26E-2</c:v>
                </c:pt>
                <c:pt idx="12">
                  <c:v>1.47E-2</c:v>
                </c:pt>
                <c:pt idx="13">
                  <c:v>1.72E-2</c:v>
                </c:pt>
                <c:pt idx="14">
                  <c:v>1.29E-2</c:v>
                </c:pt>
                <c:pt idx="15">
                  <c:v>8.3999999999999995E-3</c:v>
                </c:pt>
                <c:pt idx="16">
                  <c:v>4.1000000000000003E-3</c:v>
                </c:pt>
                <c:pt idx="17">
                  <c:v>3.8999999999999998E-3</c:v>
                </c:pt>
                <c:pt idx="18">
                  <c:v>1.12E-2</c:v>
                </c:pt>
                <c:pt idx="19">
                  <c:v>5.7000000000000002E-2</c:v>
                </c:pt>
                <c:pt idx="20">
                  <c:v>8.9499999999999996E-2</c:v>
                </c:pt>
              </c:numCache>
            </c:numRef>
          </c:val>
        </c:ser>
        <c:ser>
          <c:idx val="2"/>
          <c:order val="2"/>
          <c:tx>
            <c:strRef>
              <c:f>'Exh18-4'!$D$21</c:f>
              <c:strCache>
                <c:ptCount val="1"/>
                <c:pt idx="0">
                  <c:v>Life Insurance Cos (60+days)</c:v>
                </c:pt>
              </c:strCache>
            </c:strRef>
          </c:tx>
          <c:marker>
            <c:symbol val="none"/>
          </c:marker>
          <c:cat>
            <c:numRef>
              <c:f>'Exh18-4'!$A$22:$A$42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'Exh18-4'!$D$22:$D$42</c:f>
              <c:numCache>
                <c:formatCode>0.0%</c:formatCode>
                <c:ptCount val="21"/>
                <c:pt idx="0">
                  <c:v>3.3000000000000002E-2</c:v>
                </c:pt>
                <c:pt idx="1">
                  <c:v>4.1000000000000002E-2</c:v>
                </c:pt>
                <c:pt idx="2">
                  <c:v>7.0000000000000007E-2</c:v>
                </c:pt>
                <c:pt idx="3">
                  <c:v>5.0999999999999997E-2</c:v>
                </c:pt>
                <c:pt idx="4">
                  <c:v>3.5999999999999997E-2</c:v>
                </c:pt>
                <c:pt idx="5">
                  <c:v>2.4E-2</c:v>
                </c:pt>
                <c:pt idx="6">
                  <c:v>1.7999999999999999E-2</c:v>
                </c:pt>
                <c:pt idx="7">
                  <c:v>8.9999999999999993E-3</c:v>
                </c:pt>
                <c:pt idx="8">
                  <c:v>5.0000000000000001E-3</c:v>
                </c:pt>
                <c:pt idx="9">
                  <c:v>2.5000000000000001E-3</c:v>
                </c:pt>
                <c:pt idx="10">
                  <c:v>2.8E-3</c:v>
                </c:pt>
                <c:pt idx="11">
                  <c:v>1.1999999999999999E-3</c:v>
                </c:pt>
                <c:pt idx="12">
                  <c:v>2.8E-3</c:v>
                </c:pt>
                <c:pt idx="13">
                  <c:v>1.1999999999999999E-3</c:v>
                </c:pt>
                <c:pt idx="14">
                  <c:v>8.0000000000000004E-4</c:v>
                </c:pt>
                <c:pt idx="15">
                  <c:v>5.0000000000000001E-4</c:v>
                </c:pt>
                <c:pt idx="16">
                  <c:v>2.0000000000000001E-4</c:v>
                </c:pt>
                <c:pt idx="17">
                  <c:v>1E-4</c:v>
                </c:pt>
                <c:pt idx="18">
                  <c:v>6.9999999999999999E-4</c:v>
                </c:pt>
                <c:pt idx="19">
                  <c:v>1.9E-3</c:v>
                </c:pt>
                <c:pt idx="20">
                  <c:v>1.9E-3</c:v>
                </c:pt>
              </c:numCache>
            </c:numRef>
          </c:val>
        </c:ser>
        <c:ser>
          <c:idx val="3"/>
          <c:order val="3"/>
          <c:tx>
            <c:strRef>
              <c:f>'Exh18-4'!$E$21</c:f>
              <c:strCache>
                <c:ptCount val="1"/>
                <c:pt idx="0">
                  <c:v>FNMA(60+days)</c:v>
                </c:pt>
              </c:strCache>
            </c:strRef>
          </c:tx>
          <c:spPr>
            <a:ln w="1270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x"/>
            <c:size val="5"/>
          </c:marker>
          <c:cat>
            <c:numRef>
              <c:f>'Exh18-4'!$A$22:$A$42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'Exh18-4'!$E$22:$E$42</c:f>
              <c:numCache>
                <c:formatCode>0.0%</c:formatCode>
                <c:ptCount val="21"/>
                <c:pt idx="0">
                  <c:v>1.6E-2</c:v>
                </c:pt>
                <c:pt idx="1">
                  <c:v>3.5999999999999997E-2</c:v>
                </c:pt>
                <c:pt idx="2">
                  <c:v>2.5999999999999999E-2</c:v>
                </c:pt>
                <c:pt idx="3">
                  <c:v>1.9E-2</c:v>
                </c:pt>
                <c:pt idx="4">
                  <c:v>0.01</c:v>
                </c:pt>
                <c:pt idx="5">
                  <c:v>8.0000000000000002E-3</c:v>
                </c:pt>
                <c:pt idx="6">
                  <c:v>7.0000000000000001E-3</c:v>
                </c:pt>
                <c:pt idx="7">
                  <c:v>3.7000000000000002E-3</c:v>
                </c:pt>
                <c:pt idx="8">
                  <c:v>2.8999999999999998E-3</c:v>
                </c:pt>
                <c:pt idx="9">
                  <c:v>1.1999999999999999E-3</c:v>
                </c:pt>
                <c:pt idx="10">
                  <c:v>4.0000000000000002E-4</c:v>
                </c:pt>
                <c:pt idx="11">
                  <c:v>3.3E-3</c:v>
                </c:pt>
                <c:pt idx="12">
                  <c:v>1.2999999999999999E-3</c:v>
                </c:pt>
                <c:pt idx="13">
                  <c:v>1.2999999999999999E-3</c:v>
                </c:pt>
                <c:pt idx="14">
                  <c:v>1E-3</c:v>
                </c:pt>
                <c:pt idx="15">
                  <c:v>2.7000000000000001E-3</c:v>
                </c:pt>
                <c:pt idx="16">
                  <c:v>8.0000000000000004E-4</c:v>
                </c:pt>
                <c:pt idx="17">
                  <c:v>8.0000000000000004E-4</c:v>
                </c:pt>
                <c:pt idx="18">
                  <c:v>3.0000000000000001E-3</c:v>
                </c:pt>
                <c:pt idx="19">
                  <c:v>6.3E-3</c:v>
                </c:pt>
                <c:pt idx="20">
                  <c:v>7.1000000000000004E-3</c:v>
                </c:pt>
              </c:numCache>
            </c:numRef>
          </c:val>
        </c:ser>
        <c:ser>
          <c:idx val="4"/>
          <c:order val="4"/>
          <c:tx>
            <c:strRef>
              <c:f>'Exh18-4'!$F$21</c:f>
              <c:strCache>
                <c:ptCount val="1"/>
                <c:pt idx="0">
                  <c:v>FHLMC(60+days)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diamond"/>
            <c:size val="5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'Exh18-4'!$A$22:$A$42</c:f>
              <c:numCache>
                <c:formatCode>General</c:formatCode>
                <c:ptCount val="2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</c:numCache>
            </c:numRef>
          </c:cat>
          <c:val>
            <c:numRef>
              <c:f>'Exh18-4'!$F$22:$F$42</c:f>
              <c:numCache>
                <c:formatCode>0.0%</c:formatCode>
                <c:ptCount val="21"/>
                <c:pt idx="0">
                  <c:v>2.5999999999999999E-2</c:v>
                </c:pt>
                <c:pt idx="1">
                  <c:v>5.3999999999999999E-2</c:v>
                </c:pt>
                <c:pt idx="2">
                  <c:v>6.9000000000000006E-2</c:v>
                </c:pt>
                <c:pt idx="3">
                  <c:v>0.04</c:v>
                </c:pt>
                <c:pt idx="4">
                  <c:v>0.03</c:v>
                </c:pt>
                <c:pt idx="5">
                  <c:v>2.9000000000000001E-2</c:v>
                </c:pt>
                <c:pt idx="6">
                  <c:v>1.9599999999999999E-2</c:v>
                </c:pt>
                <c:pt idx="7">
                  <c:v>9.5999999999999992E-3</c:v>
                </c:pt>
                <c:pt idx="8">
                  <c:v>3.7000000000000002E-3</c:v>
                </c:pt>
                <c:pt idx="9">
                  <c:v>1.4E-3</c:v>
                </c:pt>
                <c:pt idx="10">
                  <c:v>4.0000000000000002E-4</c:v>
                </c:pt>
                <c:pt idx="11">
                  <c:v>1.5E-3</c:v>
                </c:pt>
                <c:pt idx="12">
                  <c:v>1.2999999999999999E-3</c:v>
                </c:pt>
                <c:pt idx="13">
                  <c:v>5.0000000000000001E-4</c:v>
                </c:pt>
                <c:pt idx="14">
                  <c:v>5.9999999999999995E-4</c:v>
                </c:pt>
                <c:pt idx="15">
                  <c:v>0</c:v>
                </c:pt>
                <c:pt idx="16">
                  <c:v>5.0000000000000001E-4</c:v>
                </c:pt>
                <c:pt idx="17">
                  <c:v>2.0000000000000001E-4</c:v>
                </c:pt>
                <c:pt idx="18">
                  <c:v>1E-4</c:v>
                </c:pt>
                <c:pt idx="19">
                  <c:v>2E-3</c:v>
                </c:pt>
                <c:pt idx="20">
                  <c:v>2.5999999999999999E-3</c:v>
                </c:pt>
              </c:numCache>
            </c:numRef>
          </c:val>
        </c:ser>
        <c:dLbls/>
        <c:marker val="1"/>
        <c:axId val="63743872"/>
        <c:axId val="63745408"/>
      </c:lineChart>
      <c:catAx>
        <c:axId val="63743872"/>
        <c:scaling>
          <c:orientation val="minMax"/>
        </c:scaling>
        <c:axPos val="b"/>
        <c:numFmt formatCode="General" sourceLinked="1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63745408"/>
        <c:crosses val="autoZero"/>
        <c:auto val="1"/>
        <c:lblAlgn val="ctr"/>
        <c:lblOffset val="100"/>
      </c:catAx>
      <c:valAx>
        <c:axId val="63745408"/>
        <c:scaling>
          <c:orientation val="minMax"/>
          <c:max val="9.0000000000000024E-2"/>
        </c:scaling>
        <c:axPos val="l"/>
        <c:majorGridlines>
          <c:spPr>
            <a:ln>
              <a:solidFill>
                <a:sysClr val="windowText" lastClr="000000">
                  <a:tint val="75000"/>
                  <a:shade val="95000"/>
                  <a:satMod val="105000"/>
                  <a:alpha val="67000"/>
                </a:sysClr>
              </a:solidFill>
              <a:prstDash val="dash"/>
            </a:ln>
          </c:spPr>
        </c:majorGridlines>
        <c:numFmt formatCode="0%" sourceLinked="0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6374387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524683988607068"/>
          <c:y val="0.76476388680297791"/>
          <c:w val="0.71847831627520164"/>
          <c:h val="0.14440959185278962"/>
        </c:manualLayout>
      </c:layout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0"/>
            </a:pPr>
            <a:r>
              <a:rPr lang="en-US" sz="1200" b="0"/>
              <a:t>Difference Between Unadjusted and Credit-Loss-Adjusted Annual Total Returns, Giliberto-Levy Commercial Mortgage Price Index, 1972-2010:*</a:t>
            </a:r>
          </a:p>
        </c:rich>
      </c:tx>
      <c:layout>
        <c:manualLayout>
          <c:xMode val="edge"/>
          <c:yMode val="edge"/>
          <c:x val="0.15200958575830203"/>
          <c:y val="1.4524328249818459E-2"/>
        </c:manualLayout>
      </c:layout>
      <c:overlay val="1"/>
      <c:spPr>
        <a:solidFill>
          <a:schemeClr val="bg1"/>
        </a:solidFill>
      </c:spPr>
    </c:title>
    <c:plotArea>
      <c:layout>
        <c:manualLayout>
          <c:layoutTarget val="inner"/>
          <c:xMode val="edge"/>
          <c:yMode val="edge"/>
          <c:x val="0.10557647685343684"/>
          <c:y val="3.0397035705878154E-2"/>
          <c:w val="0.86614599262048819"/>
          <c:h val="0.82983118458801619"/>
        </c:manualLayout>
      </c:layout>
      <c:barChart>
        <c:barDir val="col"/>
        <c:grouping val="clustered"/>
        <c:ser>
          <c:idx val="1"/>
          <c:order val="0"/>
          <c:cat>
            <c:numRef>
              <c:f>'Exh18-5'!$E$3:$E$41</c:f>
              <c:numCache>
                <c:formatCode>0</c:formatCode>
                <c:ptCount val="39"/>
                <c:pt idx="0">
                  <c:v>1972</c:v>
                </c:pt>
                <c:pt idx="1">
                  <c:v>1973</c:v>
                </c:pt>
                <c:pt idx="2">
                  <c:v>1974</c:v>
                </c:pt>
                <c:pt idx="3">
                  <c:v>1975</c:v>
                </c:pt>
                <c:pt idx="4">
                  <c:v>1976</c:v>
                </c:pt>
                <c:pt idx="5">
                  <c:v>1977</c:v>
                </c:pt>
                <c:pt idx="6">
                  <c:v>1978</c:v>
                </c:pt>
                <c:pt idx="7">
                  <c:v>1979</c:v>
                </c:pt>
                <c:pt idx="8">
                  <c:v>1980</c:v>
                </c:pt>
                <c:pt idx="9">
                  <c:v>1981</c:v>
                </c:pt>
                <c:pt idx="10">
                  <c:v>1982</c:v>
                </c:pt>
                <c:pt idx="11">
                  <c:v>1983</c:v>
                </c:pt>
                <c:pt idx="12">
                  <c:v>1984</c:v>
                </c:pt>
                <c:pt idx="13">
                  <c:v>1985</c:v>
                </c:pt>
                <c:pt idx="14">
                  <c:v>1986</c:v>
                </c:pt>
                <c:pt idx="15">
                  <c:v>1987</c:v>
                </c:pt>
                <c:pt idx="16">
                  <c:v>1988</c:v>
                </c:pt>
                <c:pt idx="17">
                  <c:v>1989</c:v>
                </c:pt>
                <c:pt idx="18">
                  <c:v>1990</c:v>
                </c:pt>
                <c:pt idx="19">
                  <c:v>1991</c:v>
                </c:pt>
                <c:pt idx="20">
                  <c:v>1992</c:v>
                </c:pt>
                <c:pt idx="21">
                  <c:v>1993</c:v>
                </c:pt>
                <c:pt idx="22">
                  <c:v>1994</c:v>
                </c:pt>
                <c:pt idx="23">
                  <c:v>1995</c:v>
                </c:pt>
                <c:pt idx="24">
                  <c:v>1996</c:v>
                </c:pt>
                <c:pt idx="25">
                  <c:v>1997</c:v>
                </c:pt>
                <c:pt idx="26">
                  <c:v>1998</c:v>
                </c:pt>
                <c:pt idx="27">
                  <c:v>1999</c:v>
                </c:pt>
                <c:pt idx="28">
                  <c:v>2000</c:v>
                </c:pt>
                <c:pt idx="29">
                  <c:v>2001</c:v>
                </c:pt>
                <c:pt idx="30">
                  <c:v>2002</c:v>
                </c:pt>
                <c:pt idx="31">
                  <c:v>2003</c:v>
                </c:pt>
                <c:pt idx="32">
                  <c:v>2004</c:v>
                </c:pt>
                <c:pt idx="33">
                  <c:v>2005</c:v>
                </c:pt>
                <c:pt idx="34">
                  <c:v>2006</c:v>
                </c:pt>
                <c:pt idx="35">
                  <c:v>2007</c:v>
                </c:pt>
                <c:pt idx="36">
                  <c:v>2008</c:v>
                </c:pt>
                <c:pt idx="37">
                  <c:v>2009</c:v>
                </c:pt>
                <c:pt idx="38">
                  <c:v>2010</c:v>
                </c:pt>
              </c:numCache>
            </c:numRef>
          </c:cat>
          <c:val>
            <c:numRef>
              <c:f>'Exh18-5'!$F$3:$F$41</c:f>
              <c:numCache>
                <c:formatCode>0</c:formatCode>
                <c:ptCount val="39"/>
                <c:pt idx="0">
                  <c:v>33.57550823737121</c:v>
                </c:pt>
                <c:pt idx="1">
                  <c:v>37.245402305967623</c:v>
                </c:pt>
                <c:pt idx="2">
                  <c:v>48.787063649421427</c:v>
                </c:pt>
                <c:pt idx="3">
                  <c:v>127.29167935772611</c:v>
                </c:pt>
                <c:pt idx="4">
                  <c:v>168.92578457041284</c:v>
                </c:pt>
                <c:pt idx="5">
                  <c:v>114.79288041163383</c:v>
                </c:pt>
                <c:pt idx="6">
                  <c:v>59.97297356016729</c:v>
                </c:pt>
                <c:pt idx="7">
                  <c:v>52.295555586894253</c:v>
                </c:pt>
                <c:pt idx="8">
                  <c:v>7.8880467817010747</c:v>
                </c:pt>
                <c:pt idx="9">
                  <c:v>17.760696341186932</c:v>
                </c:pt>
                <c:pt idx="10">
                  <c:v>119.88436950325809</c:v>
                </c:pt>
                <c:pt idx="11">
                  <c:v>72.507387256997021</c:v>
                </c:pt>
                <c:pt idx="12">
                  <c:v>61.833592322868554</c:v>
                </c:pt>
                <c:pt idx="13">
                  <c:v>94.887775593841539</c:v>
                </c:pt>
                <c:pt idx="14">
                  <c:v>128.63670632223156</c:v>
                </c:pt>
                <c:pt idx="15">
                  <c:v>100.97071174105743</c:v>
                </c:pt>
                <c:pt idx="16">
                  <c:v>149.01880536670296</c:v>
                </c:pt>
                <c:pt idx="17">
                  <c:v>172.81537879352715</c:v>
                </c:pt>
                <c:pt idx="18">
                  <c:v>152.08069075708818</c:v>
                </c:pt>
                <c:pt idx="19">
                  <c:v>176.14123685262939</c:v>
                </c:pt>
                <c:pt idx="20">
                  <c:v>222.0382157274492</c:v>
                </c:pt>
                <c:pt idx="21">
                  <c:v>257.13037818558161</c:v>
                </c:pt>
                <c:pt idx="22">
                  <c:v>289.91403612782517</c:v>
                </c:pt>
                <c:pt idx="23">
                  <c:v>136.34625510194232</c:v>
                </c:pt>
                <c:pt idx="24">
                  <c:v>74.395595990763837</c:v>
                </c:pt>
                <c:pt idx="25">
                  <c:v>53.304746928262148</c:v>
                </c:pt>
                <c:pt idx="26">
                  <c:v>24.349669552692355</c:v>
                </c:pt>
                <c:pt idx="27">
                  <c:v>17.225570601528961</c:v>
                </c:pt>
                <c:pt idx="28">
                  <c:v>33.079169643013273</c:v>
                </c:pt>
                <c:pt idx="29">
                  <c:v>34.233717481459976</c:v>
                </c:pt>
                <c:pt idx="30">
                  <c:v>12.974823903055821</c:v>
                </c:pt>
                <c:pt idx="31">
                  <c:v>25.473063380576644</c:v>
                </c:pt>
                <c:pt idx="32">
                  <c:v>32.444295970361914</c:v>
                </c:pt>
                <c:pt idx="33">
                  <c:v>21.903657620949701</c:v>
                </c:pt>
                <c:pt idx="34">
                  <c:v>13.508801901360723</c:v>
                </c:pt>
                <c:pt idx="35">
                  <c:v>9.8391041023049297</c:v>
                </c:pt>
                <c:pt idx="36">
                  <c:v>7.7888368345935266</c:v>
                </c:pt>
                <c:pt idx="37">
                  <c:v>31.313920531061967</c:v>
                </c:pt>
                <c:pt idx="38">
                  <c:v>104.6657336301715</c:v>
                </c:pt>
              </c:numCache>
            </c:numRef>
          </c:val>
        </c:ser>
        <c:dLbls/>
        <c:axId val="70504832"/>
        <c:axId val="70506368"/>
      </c:barChart>
      <c:catAx>
        <c:axId val="70504832"/>
        <c:scaling>
          <c:orientation val="minMax"/>
        </c:scaling>
        <c:axPos val="b"/>
        <c:numFmt formatCode="0" sourceLinked="1"/>
        <c:tickLblPos val="nextTo"/>
        <c:txPr>
          <a:bodyPr rot="5400000" vert="horz"/>
          <a:lstStyle/>
          <a:p>
            <a:pPr>
              <a:defRPr sz="1200"/>
            </a:pPr>
            <a:endParaRPr lang="en-US"/>
          </a:p>
        </c:txPr>
        <c:crossAx val="70506368"/>
        <c:crosses val="autoZero"/>
        <c:auto val="1"/>
        <c:lblAlgn val="ctr"/>
        <c:lblOffset val="100"/>
      </c:catAx>
      <c:valAx>
        <c:axId val="70506368"/>
        <c:scaling>
          <c:orientation val="minMax"/>
        </c:scaling>
        <c:axPos val="l"/>
        <c:majorGridlines>
          <c:spPr>
            <a:ln>
              <a:solidFill>
                <a:sysClr val="window" lastClr="FFFFFF">
                  <a:lumMod val="65000"/>
                  <a:alpha val="65000"/>
                </a:sys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 b="0"/>
                </a:pPr>
                <a:r>
                  <a:rPr lang="en-US" sz="1200" b="0"/>
                  <a:t>Basis Points</a:t>
                </a:r>
              </a:p>
            </c:rich>
          </c:tx>
          <c:layout/>
        </c:title>
        <c:numFmt formatCode="0" sourceLinked="1"/>
        <c:tickLblPos val="nextTo"/>
        <c:crossAx val="70504832"/>
        <c:crosses val="autoZero"/>
        <c:crossBetween val="between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Expected vs Contractual Cash Flows: 
10-yr Interest-Only Loan (L=$100, i=10%)*</a:t>
            </a:r>
          </a:p>
        </c:rich>
      </c:tx>
      <c:layout>
        <c:manualLayout>
          <c:xMode val="edge"/>
          <c:yMode val="edge"/>
          <c:x val="0.23408266455565557"/>
          <c:y val="3.347291447413953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9251049771597988E-2"/>
          <c:y val="0.15481222944289538"/>
          <c:w val="0.73408323604653591"/>
          <c:h val="0.66945828948279062"/>
        </c:manualLayout>
      </c:layout>
      <c:barChart>
        <c:barDir val="col"/>
        <c:grouping val="clustered"/>
        <c:ser>
          <c:idx val="0"/>
          <c:order val="0"/>
          <c:tx>
            <c:v>E[CF]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'E(CFs)30yrs'!$BV$12:$BV$21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'E(CFs)30yrs'!$BT$12:$BT$21</c:f>
              <c:numCache>
                <c:formatCode>0</c:formatCode>
                <c:ptCount val="10"/>
                <c:pt idx="0">
                  <c:v>7.9802789513320107</c:v>
                </c:pt>
                <c:pt idx="1">
                  <c:v>8.4969442993320108</c:v>
                </c:pt>
                <c:pt idx="2">
                  <c:v>8.517670588122412</c:v>
                </c:pt>
                <c:pt idx="3">
                  <c:v>8.4119293884204946</c:v>
                </c:pt>
                <c:pt idx="4">
                  <c:v>8.2416918115983222</c:v>
                </c:pt>
                <c:pt idx="5">
                  <c:v>8.173854036484494</c:v>
                </c:pt>
                <c:pt idx="6">
                  <c:v>7.9425450738476924</c:v>
                </c:pt>
                <c:pt idx="7">
                  <c:v>7.5082572625453174</c:v>
                </c:pt>
                <c:pt idx="8">
                  <c:v>7.3632085776741594</c:v>
                </c:pt>
                <c:pt idx="9">
                  <c:v>95.859387673799432</c:v>
                </c:pt>
              </c:numCache>
            </c:numRef>
          </c:val>
        </c:ser>
        <c:ser>
          <c:idx val="1"/>
          <c:order val="1"/>
          <c:tx>
            <c:v>CF Due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numRef>
              <c:f>'E(CFs)30yrs'!$BV$12:$BV$21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'E(CFs)30yrs'!$BU$12:$BU$21</c:f>
              <c:numCache>
                <c:formatCode>0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113</c:v>
                </c:pt>
              </c:numCache>
            </c:numRef>
          </c:val>
        </c:ser>
        <c:dLbls/>
        <c:axId val="72052096"/>
        <c:axId val="72058368"/>
      </c:barChart>
      <c:catAx>
        <c:axId val="720520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Loan Life Year 
*Assumes Esaki et al (1999) hazard hates, 60% recovery.</a:t>
                </a:r>
              </a:p>
            </c:rich>
          </c:tx>
          <c:layout>
            <c:manualLayout>
              <c:xMode val="edge"/>
              <c:yMode val="edge"/>
              <c:x val="9.9251049771597988E-2"/>
              <c:y val="0.891216347873964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58368"/>
        <c:crosses val="autoZero"/>
        <c:auto val="1"/>
        <c:lblAlgn val="ctr"/>
        <c:lblOffset val="100"/>
        <c:tickLblSkip val="1"/>
        <c:tickMarkSkip val="1"/>
      </c:catAx>
      <c:valAx>
        <c:axId val="72058368"/>
        <c:scaling>
          <c:orientation val="minMax"/>
        </c:scaling>
        <c:axPos val="l"/>
        <c:numFmt formatCode="\$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052096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269759240036013"/>
          <c:y val="0.45816051686478471"/>
          <c:w val="0.13670427610050284"/>
          <c:h val="9.4142571958517426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Typical Commercial Mortgage Hazard Rates*</a:t>
            </a:r>
          </a:p>
        </c:rich>
      </c:tx>
      <c:layout>
        <c:manualLayout>
          <c:xMode val="edge"/>
          <c:yMode val="edge"/>
          <c:x val="0.21161072875831263"/>
          <c:y val="1.690823748784823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917621189784584"/>
          <c:y val="0.13768136240104992"/>
          <c:w val="0.80524436607145511"/>
          <c:h val="0.66183672452434528"/>
        </c:manualLayout>
      </c:layout>
      <c:barChart>
        <c:barDir val="col"/>
        <c:grouping val="clustered"/>
        <c:ser>
          <c:idx val="1"/>
          <c:order val="0"/>
          <c:tx>
            <c:strRef>
              <c:f>'[2]Esaki Haz Calcs'!$B$5</c:f>
              <c:strCache>
                <c:ptCount val="1"/>
                <c:pt idx="0">
                  <c:v>Hazard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'[2]Esaki Haz Calcs'!$A$6:$A$30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'[2]Esaki Haz Calcs'!$B$6:$B$30</c:f>
              <c:numCache>
                <c:formatCode>General</c:formatCode>
                <c:ptCount val="25"/>
                <c:pt idx="0">
                  <c:v>3.3E-3</c:v>
                </c:pt>
                <c:pt idx="1">
                  <c:v>1.1900000000000001E-2</c:v>
                </c:pt>
                <c:pt idx="2">
                  <c:v>1.6400000000000001E-2</c:v>
                </c:pt>
                <c:pt idx="3">
                  <c:v>1.7100000000000001E-2</c:v>
                </c:pt>
                <c:pt idx="4">
                  <c:v>1.67E-2</c:v>
                </c:pt>
                <c:pt idx="5">
                  <c:v>1.8100000000000002E-2</c:v>
                </c:pt>
                <c:pt idx="6">
                  <c:v>1.66E-2</c:v>
                </c:pt>
                <c:pt idx="7">
                  <c:v>1.0800000000000001E-2</c:v>
                </c:pt>
                <c:pt idx="8">
                  <c:v>9.5999999999999992E-3</c:v>
                </c:pt>
                <c:pt idx="9">
                  <c:v>7.1999999999999998E-3</c:v>
                </c:pt>
                <c:pt idx="10">
                  <c:v>6.8999999999999999E-3</c:v>
                </c:pt>
                <c:pt idx="11">
                  <c:v>5.4999999999999997E-3</c:v>
                </c:pt>
                <c:pt idx="12">
                  <c:v>5.1000000000000004E-3</c:v>
                </c:pt>
                <c:pt idx="13">
                  <c:v>4.3E-3</c:v>
                </c:pt>
                <c:pt idx="14">
                  <c:v>3.0999999999999999E-3</c:v>
                </c:pt>
                <c:pt idx="15">
                  <c:v>4.3E-3</c:v>
                </c:pt>
                <c:pt idx="16">
                  <c:v>3.7000000000000002E-3</c:v>
                </c:pt>
                <c:pt idx="17">
                  <c:v>1.8E-3</c:v>
                </c:pt>
                <c:pt idx="18">
                  <c:v>1.4E-3</c:v>
                </c:pt>
                <c:pt idx="19">
                  <c:v>2E-3</c:v>
                </c:pt>
                <c:pt idx="20">
                  <c:v>1.1999999999999999E-3</c:v>
                </c:pt>
                <c:pt idx="21">
                  <c:v>4.0000000000000002E-4</c:v>
                </c:pt>
                <c:pt idx="22">
                  <c:v>1E-4</c:v>
                </c:pt>
                <c:pt idx="23">
                  <c:v>2.0000000000000001E-4</c:v>
                </c:pt>
                <c:pt idx="24">
                  <c:v>0</c:v>
                </c:pt>
              </c:numCache>
            </c:numRef>
          </c:val>
        </c:ser>
        <c:dLbls/>
        <c:axId val="73086464"/>
        <c:axId val="73088384"/>
      </c:barChart>
      <c:catAx>
        <c:axId val="73086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Loan Life Year </a:t>
                </a:r>
              </a:p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25" b="0" i="0" u="none" strike="noStrike" baseline="0">
                    <a:solidFill>
                      <a:srgbClr val="000000"/>
                    </a:solidFill>
                    <a:latin typeface="Courier New"/>
                    <a:cs typeface="Courier New"/>
                  </a:rPr>
                  <a:t>*Source: Esaki et al (2002)</a:t>
                </a:r>
              </a:p>
            </c:rich>
          </c:tx>
          <c:layout>
            <c:manualLayout>
              <c:xMode val="edge"/>
              <c:yMode val="edge"/>
              <c:x val="0.35580565012459647"/>
              <c:y val="0.876812886869844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88384"/>
        <c:crosses val="autoZero"/>
        <c:auto val="1"/>
        <c:lblAlgn val="ctr"/>
        <c:lblOffset val="100"/>
        <c:tickLblSkip val="2"/>
        <c:tickMarkSkip val="1"/>
      </c:catAx>
      <c:valAx>
        <c:axId val="7308838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Conditional Default Probability</a:t>
                </a:r>
              </a:p>
            </c:rich>
          </c:tx>
          <c:layout>
            <c:manualLayout>
              <c:xMode val="edge"/>
              <c:yMode val="edge"/>
              <c:x val="2.8089919746678675E-2"/>
              <c:y val="0.2077297748507069"/>
            </c:manualLayout>
          </c:layout>
          <c:spPr>
            <a:noFill/>
            <a:ln w="25400">
              <a:noFill/>
            </a:ln>
          </c:spPr>
        </c:title>
        <c:numFmt formatCode="0.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086464"/>
        <c:crosses val="autoZero"/>
        <c:crossBetween val="between"/>
      </c:valAx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Typical Commercial Mortgage Survival Rates*</a:t>
            </a:r>
          </a:p>
        </c:rich>
      </c:tx>
      <c:layout>
        <c:manualLayout>
          <c:xMode val="edge"/>
          <c:yMode val="edge"/>
          <c:x val="0.20298002338209267"/>
          <c:y val="3.614465273571899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759818444392974"/>
          <c:y val="0.14457861094287597"/>
          <c:w val="0.79888467918273154"/>
          <c:h val="0.68915804549437554"/>
        </c:manualLayout>
      </c:layout>
      <c:lineChart>
        <c:grouping val="standard"/>
        <c:ser>
          <c:idx val="3"/>
          <c:order val="0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'[2]Esaki Haz Calcs'!$A$6:$A$30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'[2]Esaki Haz Calcs'!$D$6:$D$30</c:f>
              <c:numCache>
                <c:formatCode>General</c:formatCode>
                <c:ptCount val="25"/>
                <c:pt idx="0">
                  <c:v>0.99670000000000003</c:v>
                </c:pt>
                <c:pt idx="1">
                  <c:v>0.98483927000000004</c:v>
                </c:pt>
                <c:pt idx="2">
                  <c:v>0.96868790597200005</c:v>
                </c:pt>
                <c:pt idx="3">
                  <c:v>0.95212334277987887</c:v>
                </c:pt>
                <c:pt idx="4">
                  <c:v>0.93622288295545486</c:v>
                </c:pt>
                <c:pt idx="5">
                  <c:v>0.91927724877396111</c:v>
                </c:pt>
                <c:pt idx="6">
                  <c:v>0.90401724644431336</c:v>
                </c:pt>
                <c:pt idx="7">
                  <c:v>0.8942538601827148</c:v>
                </c:pt>
                <c:pt idx="8">
                  <c:v>0.88566902312496065</c:v>
                </c:pt>
                <c:pt idx="9">
                  <c:v>0.87929220615846093</c:v>
                </c:pt>
                <c:pt idx="10">
                  <c:v>0.87322508993596759</c:v>
                </c:pt>
                <c:pt idx="11">
                  <c:v>0.86842235194131978</c:v>
                </c:pt>
                <c:pt idx="12">
                  <c:v>0.86399339794641905</c:v>
                </c:pt>
                <c:pt idx="13">
                  <c:v>0.86027822633524953</c:v>
                </c:pt>
                <c:pt idx="14">
                  <c:v>0.85761136383361025</c:v>
                </c:pt>
                <c:pt idx="15">
                  <c:v>0.85392363496912571</c:v>
                </c:pt>
                <c:pt idx="16">
                  <c:v>0.8507641175197399</c:v>
                </c:pt>
                <c:pt idx="17">
                  <c:v>0.84923274210820432</c:v>
                </c:pt>
                <c:pt idx="18">
                  <c:v>0.84804381626925285</c:v>
                </c:pt>
                <c:pt idx="19">
                  <c:v>0.84634772863671437</c:v>
                </c:pt>
                <c:pt idx="20">
                  <c:v>0.84533211136235031</c:v>
                </c:pt>
                <c:pt idx="21">
                  <c:v>0.84499397851780544</c:v>
                </c:pt>
                <c:pt idx="22">
                  <c:v>0.84490947911995362</c:v>
                </c:pt>
                <c:pt idx="23">
                  <c:v>0.84474049722412969</c:v>
                </c:pt>
                <c:pt idx="24">
                  <c:v>0.84474049722412969</c:v>
                </c:pt>
              </c:numCache>
            </c:numRef>
          </c:val>
        </c:ser>
        <c:dLbls/>
        <c:marker val="1"/>
        <c:axId val="73108864"/>
        <c:axId val="71108096"/>
      </c:lineChart>
      <c:catAx>
        <c:axId val="731088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2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Loan Life Year</a:t>
                </a:r>
              </a:p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825" b="0" i="0" u="none" strike="noStrike" baseline="0">
                    <a:solidFill>
                      <a:srgbClr val="000000"/>
                    </a:solidFill>
                    <a:latin typeface="Courier New"/>
                    <a:cs typeface="Courier New"/>
                  </a:rPr>
                  <a:t>*Source: Esaki at al (2002)</a:t>
                </a:r>
              </a:p>
            </c:rich>
          </c:tx>
          <c:layout>
            <c:manualLayout>
              <c:xMode val="edge"/>
              <c:yMode val="edge"/>
              <c:x val="0.36126719757913739"/>
              <c:y val="0.8819295267515435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08096"/>
        <c:crosses val="autoZero"/>
        <c:auto val="1"/>
        <c:lblAlgn val="ctr"/>
        <c:lblOffset val="100"/>
        <c:tickLblSkip val="2"/>
        <c:tickMarkSkip val="1"/>
      </c:catAx>
      <c:valAx>
        <c:axId val="71108096"/>
        <c:scaling>
          <c:orientation val="minMax"/>
          <c:max val="1"/>
          <c:min val="0.8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Cumulative Survival Probability</a:t>
                </a:r>
              </a:p>
            </c:rich>
          </c:tx>
          <c:layout>
            <c:manualLayout>
              <c:xMode val="edge"/>
              <c:yMode val="edge"/>
              <c:x val="4.4692849185047907E-2"/>
              <c:y val="0.22168720344574316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108864"/>
        <c:crosses val="autoZero"/>
        <c:crossBetween val="between"/>
      </c:valAx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1</xdr:row>
      <xdr:rowOff>0</xdr:rowOff>
    </xdr:from>
    <xdr:to>
      <xdr:col>6</xdr:col>
      <xdr:colOff>152400</xdr:colOff>
      <xdr:row>23</xdr:row>
      <xdr:rowOff>121920</xdr:rowOff>
    </xdr:to>
    <xdr:graphicFrame macro="">
      <xdr:nvGraphicFramePr>
        <xdr:cNvPr id="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137160</xdr:colOff>
      <xdr:row>25</xdr:row>
      <xdr:rowOff>121920</xdr:rowOff>
    </xdr:from>
    <xdr:to>
      <xdr:col>6</xdr:col>
      <xdr:colOff>182880</xdr:colOff>
      <xdr:row>48</xdr:row>
      <xdr:rowOff>121920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373380</xdr:colOff>
      <xdr:row>1</xdr:row>
      <xdr:rowOff>68580</xdr:rowOff>
    </xdr:from>
    <xdr:to>
      <xdr:col>13</xdr:col>
      <xdr:colOff>167640</xdr:colOff>
      <xdr:row>26</xdr:row>
      <xdr:rowOff>68580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0</xdr:row>
      <xdr:rowOff>161924</xdr:rowOff>
    </xdr:from>
    <xdr:to>
      <xdr:col>15</xdr:col>
      <xdr:colOff>104774</xdr:colOff>
      <xdr:row>22</xdr:row>
      <xdr:rowOff>95249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0.87466</cdr:y>
    </cdr:from>
    <cdr:to>
      <cdr:x>0.51789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057525"/>
          <a:ext cx="2895600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*Excluding construction loans.</a:t>
          </a:r>
        </a:p>
        <a:p xmlns:a="http://schemas.openxmlformats.org/drawingml/2006/main">
          <a:r>
            <a:rPr lang="en-US" sz="1000">
              <a:solidFill>
                <a:schemeClr val="bg1">
                  <a:lumMod val="65000"/>
                </a:schemeClr>
              </a:solidFill>
            </a:rPr>
            <a:t>Source: Mortgage</a:t>
          </a:r>
          <a:r>
            <a:rPr lang="en-US" sz="1000" baseline="0">
              <a:solidFill>
                <a:schemeClr val="bg1">
                  <a:lumMod val="65000"/>
                </a:schemeClr>
              </a:solidFill>
            </a:rPr>
            <a:t> Bankers Association</a:t>
          </a:r>
          <a:endParaRPr lang="en-US" sz="1000">
            <a:solidFill>
              <a:schemeClr val="bg1">
                <a:lumMod val="6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161924</xdr:rowOff>
    </xdr:from>
    <xdr:to>
      <xdr:col>15</xdr:col>
      <xdr:colOff>638175</xdr:colOff>
      <xdr:row>29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0.94389</cdr:y>
    </cdr:from>
    <cdr:to>
      <cdr:x>0.45217</cdr:x>
      <cdr:y>0.99835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378389"/>
          <a:ext cx="2971800" cy="252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*Based on life</a:t>
          </a:r>
          <a:r>
            <a:rPr lang="en-US" sz="1100" baseline="0"/>
            <a:t> insurance company loans (ACLI)</a:t>
          </a:r>
          <a:endParaRPr lang="en-US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0</xdr:row>
      <xdr:rowOff>0</xdr:rowOff>
    </xdr:from>
    <xdr:to>
      <xdr:col>15</xdr:col>
      <xdr:colOff>563880</xdr:colOff>
      <xdr:row>26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28</xdr:row>
      <xdr:rowOff>7620</xdr:rowOff>
    </xdr:from>
    <xdr:to>
      <xdr:col>15</xdr:col>
      <xdr:colOff>502920</xdr:colOff>
      <xdr:row>51</xdr:row>
      <xdr:rowOff>7620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586740</xdr:colOff>
      <xdr:row>52</xdr:row>
      <xdr:rowOff>22860</xdr:rowOff>
    </xdr:from>
    <xdr:to>
      <xdr:col>15</xdr:col>
      <xdr:colOff>518160</xdr:colOff>
      <xdr:row>75</xdr:row>
      <xdr:rowOff>30480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geltner/My%20Documents/Projects/PHBook/PHBook/phgel17schedpm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eltner/Documents/BOOK_GM2e_SW/CD%20files%20from%20book%20as%20published%202006/Appendices%20and%20Resources%20by%20Chapter/chapter%2018/Geltner-Miller%202e%20Chapter%2018%20Data%20&amp;%20Exhibi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PM(FRM)-Sched"/>
      <sheetName val="CPM(FRM)-Chart"/>
      <sheetName val="CAM-Sched"/>
      <sheetName val="CAM-Chart"/>
      <sheetName val="GPM-Sched"/>
      <sheetName val="GPM-Chart"/>
      <sheetName val="ARM-Sched"/>
      <sheetName val="ARM-Charts"/>
      <sheetName val="Feb.10,93YldCrv"/>
    </sheetNames>
    <sheetDataSet>
      <sheetData sheetId="0"/>
      <sheetData sheetId="1" refreshError="1"/>
      <sheetData sheetId="2">
        <row r="7">
          <cell r="C7">
            <v>10000</v>
          </cell>
          <cell r="D7">
            <v>12777.777777777777</v>
          </cell>
          <cell r="E7">
            <v>2777.7777777777778</v>
          </cell>
        </row>
        <row r="8">
          <cell r="C8">
            <v>9972.2222222222226</v>
          </cell>
          <cell r="D8">
            <v>12750</v>
          </cell>
          <cell r="E8">
            <v>2777.7777777777778</v>
          </cell>
        </row>
        <row r="9">
          <cell r="C9">
            <v>9944.4444444444434</v>
          </cell>
          <cell r="D9">
            <v>12722.222222222221</v>
          </cell>
          <cell r="E9">
            <v>2777.7777777777778</v>
          </cell>
        </row>
        <row r="10">
          <cell r="C10">
            <v>9916.6666666666661</v>
          </cell>
          <cell r="D10">
            <v>12694.444444444443</v>
          </cell>
          <cell r="E10">
            <v>2777.7777777777778</v>
          </cell>
        </row>
        <row r="11">
          <cell r="C11">
            <v>9888.8888888888887</v>
          </cell>
          <cell r="D11">
            <v>12666.666666666666</v>
          </cell>
          <cell r="E11">
            <v>2777.7777777777778</v>
          </cell>
        </row>
        <row r="12">
          <cell r="C12">
            <v>9861.1111111111113</v>
          </cell>
          <cell r="D12">
            <v>12638.888888888889</v>
          </cell>
          <cell r="E12">
            <v>2777.7777777777778</v>
          </cell>
        </row>
        <row r="13">
          <cell r="C13">
            <v>9833.3333333333339</v>
          </cell>
          <cell r="D13">
            <v>12611.111111111111</v>
          </cell>
          <cell r="E13">
            <v>2777.7777777777778</v>
          </cell>
        </row>
        <row r="14">
          <cell r="C14">
            <v>9805.5555555555566</v>
          </cell>
          <cell r="D14">
            <v>12583.333333333334</v>
          </cell>
          <cell r="E14">
            <v>2777.7777777777778</v>
          </cell>
        </row>
        <row r="15">
          <cell r="C15">
            <v>9777.7777777777792</v>
          </cell>
          <cell r="D15">
            <v>12555.555555555557</v>
          </cell>
          <cell r="E15">
            <v>2777.7777777777778</v>
          </cell>
        </row>
        <row r="16">
          <cell r="C16">
            <v>9750.0000000000018</v>
          </cell>
          <cell r="D16">
            <v>12527.777777777779</v>
          </cell>
          <cell r="E16">
            <v>2777.7777777777778</v>
          </cell>
        </row>
        <row r="17">
          <cell r="C17">
            <v>9722.2222222222244</v>
          </cell>
          <cell r="D17">
            <v>12500.000000000002</v>
          </cell>
          <cell r="E17">
            <v>2777.7777777777778</v>
          </cell>
        </row>
        <row r="18">
          <cell r="C18">
            <v>9694.4444444444471</v>
          </cell>
          <cell r="D18">
            <v>12472.222222222224</v>
          </cell>
          <cell r="E18">
            <v>2777.7777777777778</v>
          </cell>
        </row>
        <row r="19">
          <cell r="C19">
            <v>9666.6666666666697</v>
          </cell>
          <cell r="D19">
            <v>12444.444444444447</v>
          </cell>
          <cell r="E19">
            <v>2777.7777777777778</v>
          </cell>
        </row>
        <row r="20">
          <cell r="C20">
            <v>9638.8888888888923</v>
          </cell>
          <cell r="D20">
            <v>12416.66666666667</v>
          </cell>
          <cell r="E20">
            <v>2777.7777777777778</v>
          </cell>
        </row>
        <row r="21">
          <cell r="C21">
            <v>9611.111111111115</v>
          </cell>
          <cell r="D21">
            <v>12388.888888888892</v>
          </cell>
          <cell r="E21">
            <v>2777.7777777777778</v>
          </cell>
        </row>
        <row r="22">
          <cell r="C22">
            <v>9583.3333333333376</v>
          </cell>
          <cell r="D22">
            <v>12361.111111111115</v>
          </cell>
          <cell r="E22">
            <v>2777.7777777777778</v>
          </cell>
        </row>
        <row r="23">
          <cell r="C23">
            <v>9555.5555555555602</v>
          </cell>
          <cell r="D23">
            <v>12333.333333333338</v>
          </cell>
          <cell r="E23">
            <v>2777.7777777777778</v>
          </cell>
        </row>
        <row r="24">
          <cell r="C24">
            <v>9527.7777777777828</v>
          </cell>
          <cell r="D24">
            <v>12305.55555555556</v>
          </cell>
          <cell r="E24">
            <v>2777.7777777777778</v>
          </cell>
        </row>
        <row r="25">
          <cell r="C25">
            <v>9500.0000000000055</v>
          </cell>
          <cell r="D25">
            <v>12277.777777777783</v>
          </cell>
          <cell r="E25">
            <v>2777.7777777777778</v>
          </cell>
        </row>
        <row r="26">
          <cell r="C26">
            <v>9472.2222222222263</v>
          </cell>
          <cell r="D26">
            <v>12250.000000000004</v>
          </cell>
          <cell r="E26">
            <v>2777.7777777777778</v>
          </cell>
        </row>
        <row r="27">
          <cell r="C27">
            <v>9444.4444444444489</v>
          </cell>
          <cell r="D27">
            <v>12222.222222222226</v>
          </cell>
          <cell r="E27">
            <v>2777.7777777777778</v>
          </cell>
        </row>
        <row r="28">
          <cell r="C28">
            <v>9416.6666666666715</v>
          </cell>
          <cell r="D28">
            <v>12194.444444444449</v>
          </cell>
          <cell r="E28">
            <v>2777.7777777777778</v>
          </cell>
        </row>
        <row r="29">
          <cell r="C29">
            <v>9388.8888888888941</v>
          </cell>
          <cell r="D29">
            <v>12166.666666666672</v>
          </cell>
          <cell r="E29">
            <v>2777.7777777777778</v>
          </cell>
        </row>
        <row r="30">
          <cell r="C30">
            <v>9361.1111111111168</v>
          </cell>
          <cell r="D30">
            <v>12138.888888888894</v>
          </cell>
          <cell r="E30">
            <v>2777.7777777777778</v>
          </cell>
        </row>
        <row r="31">
          <cell r="C31">
            <v>9333.3333333333394</v>
          </cell>
          <cell r="D31">
            <v>12111.111111111117</v>
          </cell>
          <cell r="E31">
            <v>2777.7777777777778</v>
          </cell>
        </row>
        <row r="32">
          <cell r="C32">
            <v>9305.555555555562</v>
          </cell>
          <cell r="D32">
            <v>12083.333333333339</v>
          </cell>
          <cell r="E32">
            <v>2777.7777777777778</v>
          </cell>
        </row>
        <row r="33">
          <cell r="C33">
            <v>9277.7777777777846</v>
          </cell>
          <cell r="D33">
            <v>12055.555555555562</v>
          </cell>
          <cell r="E33">
            <v>2777.7777777777778</v>
          </cell>
        </row>
        <row r="34">
          <cell r="C34">
            <v>9250.0000000000055</v>
          </cell>
          <cell r="D34">
            <v>12027.777777777783</v>
          </cell>
          <cell r="E34">
            <v>2777.7777777777778</v>
          </cell>
        </row>
        <row r="35">
          <cell r="C35">
            <v>9222.2222222222281</v>
          </cell>
          <cell r="D35">
            <v>12000.000000000005</v>
          </cell>
          <cell r="E35">
            <v>2777.7777777777778</v>
          </cell>
        </row>
        <row r="36">
          <cell r="C36">
            <v>9194.4444444444507</v>
          </cell>
          <cell r="D36">
            <v>11972.222222222228</v>
          </cell>
          <cell r="E36">
            <v>2777.7777777777778</v>
          </cell>
        </row>
        <row r="37">
          <cell r="C37">
            <v>9166.6666666666733</v>
          </cell>
          <cell r="D37">
            <v>11944.444444444451</v>
          </cell>
          <cell r="E37">
            <v>2777.7777777777778</v>
          </cell>
        </row>
        <row r="38">
          <cell r="C38">
            <v>9138.888888888896</v>
          </cell>
          <cell r="D38">
            <v>11916.666666666673</v>
          </cell>
          <cell r="E38">
            <v>2777.7777777777778</v>
          </cell>
        </row>
        <row r="39">
          <cell r="C39">
            <v>9111.1111111111186</v>
          </cell>
          <cell r="D39">
            <v>11888.888888888896</v>
          </cell>
          <cell r="E39">
            <v>2777.7777777777778</v>
          </cell>
        </row>
        <row r="40">
          <cell r="C40">
            <v>9083.3333333333412</v>
          </cell>
          <cell r="D40">
            <v>11861.111111111119</v>
          </cell>
          <cell r="E40">
            <v>2777.7777777777778</v>
          </cell>
        </row>
        <row r="41">
          <cell r="C41">
            <v>9055.5555555555638</v>
          </cell>
          <cell r="D41">
            <v>11833.333333333341</v>
          </cell>
          <cell r="E41">
            <v>2777.7777777777778</v>
          </cell>
        </row>
        <row r="42">
          <cell r="C42">
            <v>9027.7777777777865</v>
          </cell>
          <cell r="D42">
            <v>11805.555555555564</v>
          </cell>
          <cell r="E42">
            <v>2777.7777777777778</v>
          </cell>
        </row>
        <row r="43">
          <cell r="C43">
            <v>9000.0000000000091</v>
          </cell>
          <cell r="D43">
            <v>11777.777777777786</v>
          </cell>
          <cell r="E43">
            <v>2777.7777777777778</v>
          </cell>
        </row>
        <row r="44">
          <cell r="C44">
            <v>8972.2222222222317</v>
          </cell>
          <cell r="D44">
            <v>11750.000000000009</v>
          </cell>
          <cell r="E44">
            <v>2777.7777777777778</v>
          </cell>
        </row>
        <row r="45">
          <cell r="C45">
            <v>8944.4444444444543</v>
          </cell>
          <cell r="D45">
            <v>11722.222222222232</v>
          </cell>
          <cell r="E45">
            <v>2777.7777777777778</v>
          </cell>
        </row>
        <row r="46">
          <cell r="C46">
            <v>8916.666666666677</v>
          </cell>
          <cell r="D46">
            <v>11694.444444444454</v>
          </cell>
          <cell r="E46">
            <v>2777.7777777777778</v>
          </cell>
        </row>
        <row r="47">
          <cell r="C47">
            <v>8888.8888888888996</v>
          </cell>
          <cell r="D47">
            <v>11666.666666666677</v>
          </cell>
          <cell r="E47">
            <v>2777.7777777777778</v>
          </cell>
        </row>
        <row r="48">
          <cell r="C48">
            <v>8861.1111111111222</v>
          </cell>
          <cell r="D48">
            <v>11638.8888888889</v>
          </cell>
          <cell r="E48">
            <v>2777.7777777777778</v>
          </cell>
        </row>
        <row r="49">
          <cell r="C49">
            <v>8833.3333333333449</v>
          </cell>
          <cell r="D49">
            <v>11611.111111111122</v>
          </cell>
          <cell r="E49">
            <v>2777.7777777777778</v>
          </cell>
        </row>
        <row r="50">
          <cell r="C50">
            <v>8805.5555555555675</v>
          </cell>
          <cell r="D50">
            <v>11583.333333333345</v>
          </cell>
          <cell r="E50">
            <v>2777.7777777777778</v>
          </cell>
        </row>
        <row r="51">
          <cell r="C51">
            <v>8777.7777777777883</v>
          </cell>
          <cell r="D51">
            <v>11555.555555555566</v>
          </cell>
          <cell r="E51">
            <v>2777.7777777777778</v>
          </cell>
        </row>
        <row r="52">
          <cell r="C52">
            <v>8750.0000000000109</v>
          </cell>
          <cell r="D52">
            <v>11527.777777777788</v>
          </cell>
          <cell r="E52">
            <v>2777.7777777777778</v>
          </cell>
        </row>
        <row r="53">
          <cell r="C53">
            <v>8722.2222222222335</v>
          </cell>
          <cell r="D53">
            <v>11500.000000000011</v>
          </cell>
          <cell r="E53">
            <v>2777.7777777777778</v>
          </cell>
        </row>
        <row r="54">
          <cell r="C54">
            <v>8694.4444444444562</v>
          </cell>
          <cell r="D54">
            <v>11472.222222222234</v>
          </cell>
          <cell r="E54">
            <v>2777.7777777777778</v>
          </cell>
        </row>
        <row r="55">
          <cell r="C55">
            <v>8666.6666666666788</v>
          </cell>
          <cell r="D55">
            <v>11444.444444444456</v>
          </cell>
          <cell r="E55">
            <v>2777.7777777777778</v>
          </cell>
        </row>
        <row r="56">
          <cell r="C56">
            <v>8638.8888888889014</v>
          </cell>
          <cell r="D56">
            <v>11416.666666666679</v>
          </cell>
          <cell r="E56">
            <v>2777.7777777777778</v>
          </cell>
        </row>
        <row r="57">
          <cell r="C57">
            <v>8611.111111111124</v>
          </cell>
          <cell r="D57">
            <v>11388.888888888901</v>
          </cell>
          <cell r="E57">
            <v>2777.7777777777778</v>
          </cell>
        </row>
        <row r="58">
          <cell r="C58">
            <v>8583.3333333333467</v>
          </cell>
          <cell r="D58">
            <v>11361.111111111124</v>
          </cell>
          <cell r="E58">
            <v>2777.7777777777778</v>
          </cell>
        </row>
        <row r="59">
          <cell r="C59">
            <v>8555.5555555555675</v>
          </cell>
          <cell r="D59">
            <v>11333.333333333345</v>
          </cell>
          <cell r="E59">
            <v>2777.7777777777778</v>
          </cell>
        </row>
        <row r="60">
          <cell r="C60">
            <v>8527.7777777777901</v>
          </cell>
          <cell r="D60">
            <v>11305.555555555567</v>
          </cell>
          <cell r="E60">
            <v>2777.7777777777778</v>
          </cell>
        </row>
        <row r="61">
          <cell r="C61">
            <v>8500.0000000000127</v>
          </cell>
          <cell r="D61">
            <v>11277.77777777779</v>
          </cell>
          <cell r="E61">
            <v>2777.7777777777778</v>
          </cell>
        </row>
        <row r="62">
          <cell r="C62">
            <v>8472.2222222222354</v>
          </cell>
          <cell r="D62">
            <v>11250.000000000013</v>
          </cell>
          <cell r="E62">
            <v>2777.7777777777778</v>
          </cell>
        </row>
        <row r="63">
          <cell r="C63">
            <v>8444.444444444458</v>
          </cell>
          <cell r="D63">
            <v>11222.222222222235</v>
          </cell>
          <cell r="E63">
            <v>2777.7777777777778</v>
          </cell>
        </row>
        <row r="64">
          <cell r="C64">
            <v>8416.6666666666806</v>
          </cell>
          <cell r="D64">
            <v>11194.444444444458</v>
          </cell>
          <cell r="E64">
            <v>2777.7777777777778</v>
          </cell>
        </row>
        <row r="65">
          <cell r="C65">
            <v>8388.8888888889032</v>
          </cell>
          <cell r="D65">
            <v>11166.666666666681</v>
          </cell>
          <cell r="E65">
            <v>2777.7777777777778</v>
          </cell>
        </row>
        <row r="66">
          <cell r="C66">
            <v>8361.1111111111259</v>
          </cell>
          <cell r="D66">
            <v>11138.888888888903</v>
          </cell>
          <cell r="E66">
            <v>2777.7777777777778</v>
          </cell>
        </row>
        <row r="67">
          <cell r="C67">
            <v>8333.3333333333485</v>
          </cell>
          <cell r="D67">
            <v>11111.111111111126</v>
          </cell>
          <cell r="E67">
            <v>2777.7777777777778</v>
          </cell>
        </row>
        <row r="68">
          <cell r="C68">
            <v>8305.5555555555711</v>
          </cell>
          <cell r="D68">
            <v>11083.333333333348</v>
          </cell>
          <cell r="E68">
            <v>2777.7777777777778</v>
          </cell>
        </row>
        <row r="69">
          <cell r="C69">
            <v>8277.7777777777937</v>
          </cell>
          <cell r="D69">
            <v>11055.555555555571</v>
          </cell>
          <cell r="E69">
            <v>2777.7777777777778</v>
          </cell>
        </row>
        <row r="70">
          <cell r="C70">
            <v>8250.0000000000164</v>
          </cell>
          <cell r="D70">
            <v>11027.777777777794</v>
          </cell>
          <cell r="E70">
            <v>2777.7777777777778</v>
          </cell>
        </row>
        <row r="71">
          <cell r="C71">
            <v>8222.222222222239</v>
          </cell>
          <cell r="D71">
            <v>11000.000000000016</v>
          </cell>
          <cell r="E71">
            <v>2777.7777777777778</v>
          </cell>
        </row>
        <row r="72">
          <cell r="C72">
            <v>8194.4444444444616</v>
          </cell>
          <cell r="D72">
            <v>10972.222222222239</v>
          </cell>
          <cell r="E72">
            <v>2777.7777777777778</v>
          </cell>
        </row>
        <row r="73">
          <cell r="C73">
            <v>8166.6666666666833</v>
          </cell>
          <cell r="D73">
            <v>10944.444444444462</v>
          </cell>
          <cell r="E73">
            <v>2777.7777777777778</v>
          </cell>
        </row>
        <row r="74">
          <cell r="C74">
            <v>8138.888888888906</v>
          </cell>
          <cell r="D74">
            <v>10916.666666666684</v>
          </cell>
          <cell r="E74">
            <v>2777.7777777777778</v>
          </cell>
        </row>
        <row r="75">
          <cell r="C75">
            <v>8111.1111111111286</v>
          </cell>
          <cell r="D75">
            <v>10888.888888888907</v>
          </cell>
          <cell r="E75">
            <v>2777.7777777777778</v>
          </cell>
        </row>
        <row r="76">
          <cell r="C76">
            <v>8083.3333333333503</v>
          </cell>
          <cell r="D76">
            <v>10861.111111111128</v>
          </cell>
          <cell r="E76">
            <v>2777.7777777777778</v>
          </cell>
        </row>
        <row r="77">
          <cell r="C77">
            <v>8055.5555555555729</v>
          </cell>
          <cell r="D77">
            <v>10833.33333333335</v>
          </cell>
          <cell r="E77">
            <v>2777.7777777777778</v>
          </cell>
        </row>
        <row r="78">
          <cell r="C78">
            <v>8027.7777777777956</v>
          </cell>
          <cell r="D78">
            <v>10805.555555555573</v>
          </cell>
          <cell r="E78">
            <v>2777.7777777777778</v>
          </cell>
        </row>
        <row r="79">
          <cell r="C79">
            <v>8000.0000000000182</v>
          </cell>
          <cell r="D79">
            <v>10777.777777777796</v>
          </cell>
          <cell r="E79">
            <v>2777.7777777777778</v>
          </cell>
        </row>
        <row r="80">
          <cell r="C80">
            <v>7972.2222222222408</v>
          </cell>
          <cell r="D80">
            <v>10750.000000000018</v>
          </cell>
          <cell r="E80">
            <v>2777.7777777777778</v>
          </cell>
        </row>
        <row r="81">
          <cell r="C81">
            <v>7944.4444444444634</v>
          </cell>
          <cell r="D81">
            <v>10722.222222222241</v>
          </cell>
          <cell r="E81">
            <v>2777.7777777777778</v>
          </cell>
        </row>
        <row r="82">
          <cell r="C82">
            <v>7916.6666666666861</v>
          </cell>
          <cell r="D82">
            <v>10694.444444444463</v>
          </cell>
          <cell r="E82">
            <v>2777.7777777777778</v>
          </cell>
        </row>
        <row r="83">
          <cell r="C83">
            <v>7888.8888888889087</v>
          </cell>
          <cell r="D83">
            <v>10666.666666666686</v>
          </cell>
          <cell r="E83">
            <v>2777.7777777777778</v>
          </cell>
        </row>
        <row r="84">
          <cell r="C84">
            <v>7861.1111111111313</v>
          </cell>
          <cell r="D84">
            <v>10638.888888888909</v>
          </cell>
          <cell r="E84">
            <v>2777.7777777777778</v>
          </cell>
        </row>
        <row r="85">
          <cell r="C85">
            <v>7833.333333333353</v>
          </cell>
          <cell r="D85">
            <v>10611.111111111131</v>
          </cell>
          <cell r="E85">
            <v>2777.7777777777778</v>
          </cell>
        </row>
        <row r="86">
          <cell r="C86">
            <v>7805.5555555555757</v>
          </cell>
          <cell r="D86">
            <v>10583.333333333354</v>
          </cell>
          <cell r="E86">
            <v>2777.7777777777778</v>
          </cell>
        </row>
        <row r="87">
          <cell r="C87">
            <v>7777.7777777777983</v>
          </cell>
          <cell r="D87">
            <v>10555.555555555577</v>
          </cell>
          <cell r="E87">
            <v>2777.7777777777778</v>
          </cell>
        </row>
        <row r="88">
          <cell r="C88">
            <v>7750.0000000000209</v>
          </cell>
          <cell r="D88">
            <v>10527.777777777799</v>
          </cell>
          <cell r="E88">
            <v>2777.7777777777778</v>
          </cell>
        </row>
        <row r="89">
          <cell r="C89">
            <v>7722.2222222222435</v>
          </cell>
          <cell r="D89">
            <v>10500.000000000022</v>
          </cell>
          <cell r="E89">
            <v>2777.7777777777778</v>
          </cell>
        </row>
        <row r="90">
          <cell r="C90">
            <v>7694.4444444444662</v>
          </cell>
          <cell r="D90">
            <v>10472.222222222244</v>
          </cell>
          <cell r="E90">
            <v>2777.7777777777778</v>
          </cell>
        </row>
        <row r="91">
          <cell r="C91">
            <v>7666.6666666666888</v>
          </cell>
          <cell r="D91">
            <v>10444.444444444467</v>
          </cell>
          <cell r="E91">
            <v>2777.7777777777778</v>
          </cell>
        </row>
        <row r="92">
          <cell r="C92">
            <v>7638.8888888889114</v>
          </cell>
          <cell r="D92">
            <v>10416.66666666669</v>
          </cell>
          <cell r="E92">
            <v>2777.7777777777778</v>
          </cell>
        </row>
        <row r="93">
          <cell r="C93">
            <v>7611.1111111111322</v>
          </cell>
          <cell r="D93">
            <v>10388.888888888911</v>
          </cell>
          <cell r="E93">
            <v>2777.7777777777778</v>
          </cell>
        </row>
        <row r="94">
          <cell r="C94">
            <v>7583.3333333333549</v>
          </cell>
          <cell r="D94">
            <v>10361.111111111133</v>
          </cell>
          <cell r="E94">
            <v>2777.7777777777778</v>
          </cell>
        </row>
        <row r="95">
          <cell r="C95">
            <v>7555.5555555555775</v>
          </cell>
          <cell r="D95">
            <v>10333.333333333356</v>
          </cell>
          <cell r="E95">
            <v>2777.7777777777778</v>
          </cell>
        </row>
        <row r="96">
          <cell r="C96">
            <v>7527.7777777778001</v>
          </cell>
          <cell r="D96">
            <v>10305.555555555578</v>
          </cell>
          <cell r="E96">
            <v>2777.7777777777778</v>
          </cell>
        </row>
        <row r="97">
          <cell r="C97">
            <v>7500.0000000000227</v>
          </cell>
          <cell r="D97">
            <v>10277.777777777801</v>
          </cell>
          <cell r="E97">
            <v>2777.7777777777778</v>
          </cell>
        </row>
        <row r="98">
          <cell r="C98">
            <v>7472.2222222222454</v>
          </cell>
          <cell r="D98">
            <v>10250.000000000024</v>
          </cell>
          <cell r="E98">
            <v>2777.7777777777778</v>
          </cell>
        </row>
        <row r="99">
          <cell r="C99">
            <v>7444.444444444468</v>
          </cell>
          <cell r="D99">
            <v>10222.222222222246</v>
          </cell>
          <cell r="E99">
            <v>2777.7777777777778</v>
          </cell>
        </row>
        <row r="100">
          <cell r="C100">
            <v>7416.6666666666906</v>
          </cell>
          <cell r="D100">
            <v>10194.444444444469</v>
          </cell>
          <cell r="E100">
            <v>2777.7777777777778</v>
          </cell>
        </row>
        <row r="101">
          <cell r="C101">
            <v>7388.8888888889123</v>
          </cell>
          <cell r="D101">
            <v>10166.66666666669</v>
          </cell>
          <cell r="E101">
            <v>2777.7777777777778</v>
          </cell>
        </row>
        <row r="102">
          <cell r="C102">
            <v>7361.111111111135</v>
          </cell>
          <cell r="D102">
            <v>10138.888888888912</v>
          </cell>
          <cell r="E102">
            <v>2777.7777777777778</v>
          </cell>
        </row>
        <row r="103">
          <cell r="C103">
            <v>7333.3333333333576</v>
          </cell>
          <cell r="D103">
            <v>10111.111111111135</v>
          </cell>
          <cell r="E103">
            <v>2777.7777777777778</v>
          </cell>
        </row>
        <row r="104">
          <cell r="C104">
            <v>7305.5555555555802</v>
          </cell>
          <cell r="D104">
            <v>10083.333333333358</v>
          </cell>
          <cell r="E104">
            <v>2777.7777777777778</v>
          </cell>
        </row>
        <row r="105">
          <cell r="C105">
            <v>7277.7777777778028</v>
          </cell>
          <cell r="D105">
            <v>10055.55555555558</v>
          </cell>
          <cell r="E105">
            <v>2777.7777777777778</v>
          </cell>
        </row>
        <row r="106">
          <cell r="C106">
            <v>7250.0000000000255</v>
          </cell>
          <cell r="D106">
            <v>10027.777777777803</v>
          </cell>
          <cell r="E106">
            <v>2777.7777777777778</v>
          </cell>
        </row>
        <row r="107">
          <cell r="C107">
            <v>7222.2222222222481</v>
          </cell>
          <cell r="D107">
            <v>10000.000000000025</v>
          </cell>
          <cell r="E107">
            <v>2777.7777777777778</v>
          </cell>
        </row>
        <row r="108">
          <cell r="C108">
            <v>7194.4444444444707</v>
          </cell>
          <cell r="D108">
            <v>9972.2222222222481</v>
          </cell>
          <cell r="E108">
            <v>2777.7777777777778</v>
          </cell>
        </row>
        <row r="109">
          <cell r="C109">
            <v>7166.6666666666933</v>
          </cell>
          <cell r="D109">
            <v>9944.4444444444707</v>
          </cell>
          <cell r="E109">
            <v>2777.7777777777778</v>
          </cell>
        </row>
        <row r="110">
          <cell r="C110">
            <v>7138.8888888889151</v>
          </cell>
          <cell r="D110">
            <v>9916.6666666666933</v>
          </cell>
          <cell r="E110">
            <v>2777.7777777777778</v>
          </cell>
        </row>
        <row r="111">
          <cell r="C111">
            <v>7111.1111111111377</v>
          </cell>
          <cell r="D111">
            <v>9888.888888888916</v>
          </cell>
          <cell r="E111">
            <v>2777.7777777777778</v>
          </cell>
        </row>
        <row r="112">
          <cell r="C112">
            <v>7083.3333333333603</v>
          </cell>
          <cell r="D112">
            <v>9861.1111111111386</v>
          </cell>
          <cell r="E112">
            <v>2777.7777777777778</v>
          </cell>
        </row>
        <row r="113">
          <cell r="C113">
            <v>7055.5555555555829</v>
          </cell>
          <cell r="D113">
            <v>9833.3333333333612</v>
          </cell>
          <cell r="E113">
            <v>2777.7777777777778</v>
          </cell>
        </row>
        <row r="114">
          <cell r="C114">
            <v>7027.7777777778056</v>
          </cell>
          <cell r="D114">
            <v>9805.5555555555839</v>
          </cell>
          <cell r="E114">
            <v>2777.7777777777778</v>
          </cell>
        </row>
        <row r="115">
          <cell r="C115">
            <v>7000.0000000000282</v>
          </cell>
          <cell r="D115">
            <v>9777.7777777778065</v>
          </cell>
          <cell r="E115">
            <v>2777.7777777777778</v>
          </cell>
        </row>
        <row r="116">
          <cell r="C116">
            <v>6972.2222222222508</v>
          </cell>
          <cell r="D116">
            <v>9750.0000000000291</v>
          </cell>
          <cell r="E116">
            <v>2777.7777777777778</v>
          </cell>
        </row>
        <row r="117">
          <cell r="C117">
            <v>6944.4444444444734</v>
          </cell>
          <cell r="D117">
            <v>9722.2222222222517</v>
          </cell>
          <cell r="E117">
            <v>2777.7777777777778</v>
          </cell>
        </row>
        <row r="118">
          <cell r="C118">
            <v>6916.6666666666943</v>
          </cell>
          <cell r="D118">
            <v>9694.4444444444725</v>
          </cell>
          <cell r="E118">
            <v>2777.7777777777778</v>
          </cell>
        </row>
        <row r="119">
          <cell r="C119">
            <v>6888.8888888889169</v>
          </cell>
          <cell r="D119">
            <v>9666.6666666666952</v>
          </cell>
          <cell r="E119">
            <v>2777.7777777777778</v>
          </cell>
        </row>
        <row r="120">
          <cell r="C120">
            <v>6861.1111111111395</v>
          </cell>
          <cell r="D120">
            <v>9638.8888888889178</v>
          </cell>
          <cell r="E120">
            <v>2777.7777777777778</v>
          </cell>
        </row>
        <row r="121">
          <cell r="C121">
            <v>6833.3333333333621</v>
          </cell>
          <cell r="D121">
            <v>9611.1111111111404</v>
          </cell>
          <cell r="E121">
            <v>2777.7777777777778</v>
          </cell>
        </row>
        <row r="122">
          <cell r="C122">
            <v>6805.5555555555848</v>
          </cell>
          <cell r="D122">
            <v>9583.333333333363</v>
          </cell>
          <cell r="E122">
            <v>2777.7777777777778</v>
          </cell>
        </row>
        <row r="123">
          <cell r="C123">
            <v>6777.7777777778074</v>
          </cell>
          <cell r="D123">
            <v>9555.5555555555857</v>
          </cell>
          <cell r="E123">
            <v>2777.7777777777778</v>
          </cell>
        </row>
        <row r="124">
          <cell r="C124">
            <v>6750.00000000003</v>
          </cell>
          <cell r="D124">
            <v>9527.7777777778083</v>
          </cell>
          <cell r="E124">
            <v>2777.7777777777778</v>
          </cell>
        </row>
        <row r="125">
          <cell r="C125">
            <v>6722.2222222222526</v>
          </cell>
          <cell r="D125">
            <v>9500.0000000000309</v>
          </cell>
          <cell r="E125">
            <v>2777.7777777777778</v>
          </cell>
        </row>
        <row r="126">
          <cell r="C126">
            <v>6694.4444444444753</v>
          </cell>
          <cell r="D126">
            <v>9472.2222222222535</v>
          </cell>
          <cell r="E126">
            <v>2777.7777777777778</v>
          </cell>
        </row>
        <row r="127">
          <cell r="C127">
            <v>6666.666666666697</v>
          </cell>
          <cell r="D127">
            <v>9444.4444444444744</v>
          </cell>
          <cell r="E127">
            <v>2777.7777777777778</v>
          </cell>
        </row>
        <row r="128">
          <cell r="C128">
            <v>6638.8888888889196</v>
          </cell>
          <cell r="D128">
            <v>9416.666666666697</v>
          </cell>
          <cell r="E128">
            <v>2777.7777777777778</v>
          </cell>
        </row>
        <row r="129">
          <cell r="C129">
            <v>6611.1111111111422</v>
          </cell>
          <cell r="D129">
            <v>9388.8888888889196</v>
          </cell>
          <cell r="E129">
            <v>2777.7777777777778</v>
          </cell>
        </row>
        <row r="130">
          <cell r="C130">
            <v>6583.3333333333649</v>
          </cell>
          <cell r="D130">
            <v>9361.1111111111422</v>
          </cell>
          <cell r="E130">
            <v>2777.7777777777778</v>
          </cell>
        </row>
        <row r="131">
          <cell r="C131">
            <v>6555.5555555555875</v>
          </cell>
          <cell r="D131">
            <v>9333.3333333333649</v>
          </cell>
          <cell r="E131">
            <v>2777.7777777777778</v>
          </cell>
        </row>
        <row r="132">
          <cell r="C132">
            <v>6527.7777777778101</v>
          </cell>
          <cell r="D132">
            <v>9305.5555555555875</v>
          </cell>
          <cell r="E132">
            <v>2777.7777777777778</v>
          </cell>
        </row>
        <row r="133">
          <cell r="C133">
            <v>6500.0000000000327</v>
          </cell>
          <cell r="D133">
            <v>9277.7777777778101</v>
          </cell>
          <cell r="E133">
            <v>2777.7777777777778</v>
          </cell>
        </row>
        <row r="134">
          <cell r="C134">
            <v>6472.2222222222554</v>
          </cell>
          <cell r="D134">
            <v>9250.0000000000327</v>
          </cell>
          <cell r="E134">
            <v>2777.7777777777778</v>
          </cell>
        </row>
        <row r="135">
          <cell r="C135">
            <v>6444.4444444444771</v>
          </cell>
          <cell r="D135">
            <v>9222.2222222222554</v>
          </cell>
          <cell r="E135">
            <v>2777.7777777777778</v>
          </cell>
        </row>
        <row r="136">
          <cell r="C136">
            <v>6416.6666666666997</v>
          </cell>
          <cell r="D136">
            <v>9194.444444444478</v>
          </cell>
          <cell r="E136">
            <v>2777.7777777777778</v>
          </cell>
        </row>
        <row r="137">
          <cell r="C137">
            <v>6388.8888888889223</v>
          </cell>
          <cell r="D137">
            <v>9166.6666666667006</v>
          </cell>
          <cell r="E137">
            <v>2777.7777777777778</v>
          </cell>
        </row>
        <row r="138">
          <cell r="C138">
            <v>6361.111111111145</v>
          </cell>
          <cell r="D138">
            <v>9138.8888888889232</v>
          </cell>
          <cell r="E138">
            <v>2777.7777777777778</v>
          </cell>
        </row>
        <row r="139">
          <cell r="C139">
            <v>6333.3333333333676</v>
          </cell>
          <cell r="D139">
            <v>9111.1111111111459</v>
          </cell>
          <cell r="E139">
            <v>2777.7777777777778</v>
          </cell>
        </row>
        <row r="140">
          <cell r="C140">
            <v>6305.5555555555902</v>
          </cell>
          <cell r="D140">
            <v>9083.3333333333685</v>
          </cell>
          <cell r="E140">
            <v>2777.7777777777778</v>
          </cell>
        </row>
        <row r="141">
          <cell r="C141">
            <v>6277.7777777778128</v>
          </cell>
          <cell r="D141">
            <v>9055.5555555555911</v>
          </cell>
          <cell r="E141">
            <v>2777.7777777777778</v>
          </cell>
        </row>
        <row r="142">
          <cell r="C142">
            <v>6250.0000000000355</v>
          </cell>
          <cell r="D142">
            <v>9027.7777777778138</v>
          </cell>
          <cell r="E142">
            <v>2777.7777777777778</v>
          </cell>
        </row>
        <row r="143">
          <cell r="C143">
            <v>6222.2222222222563</v>
          </cell>
          <cell r="D143">
            <v>9000.0000000000346</v>
          </cell>
          <cell r="E143">
            <v>2777.7777777777778</v>
          </cell>
        </row>
        <row r="144">
          <cell r="C144">
            <v>6194.4444444444789</v>
          </cell>
          <cell r="D144">
            <v>8972.2222222222572</v>
          </cell>
          <cell r="E144">
            <v>2777.7777777777778</v>
          </cell>
        </row>
        <row r="145">
          <cell r="C145">
            <v>6166.6666666667015</v>
          </cell>
          <cell r="D145">
            <v>8944.4444444444798</v>
          </cell>
          <cell r="E145">
            <v>2777.7777777777778</v>
          </cell>
        </row>
        <row r="146">
          <cell r="C146">
            <v>6138.8888888889242</v>
          </cell>
          <cell r="D146">
            <v>8916.6666666667024</v>
          </cell>
          <cell r="E146">
            <v>2777.7777777777778</v>
          </cell>
        </row>
        <row r="147">
          <cell r="C147">
            <v>6111.1111111111468</v>
          </cell>
          <cell r="D147">
            <v>8888.8888888889251</v>
          </cell>
          <cell r="E147">
            <v>2777.7777777777778</v>
          </cell>
        </row>
        <row r="148">
          <cell r="C148">
            <v>6083.3333333333694</v>
          </cell>
          <cell r="D148">
            <v>8861.1111111111477</v>
          </cell>
          <cell r="E148">
            <v>2777.7777777777778</v>
          </cell>
        </row>
        <row r="149">
          <cell r="C149">
            <v>6055.555555555592</v>
          </cell>
          <cell r="D149">
            <v>8833.3333333333703</v>
          </cell>
          <cell r="E149">
            <v>2777.7777777777778</v>
          </cell>
        </row>
        <row r="150">
          <cell r="C150">
            <v>6027.7777777778147</v>
          </cell>
          <cell r="D150">
            <v>8805.5555555555929</v>
          </cell>
          <cell r="E150">
            <v>2777.7777777777778</v>
          </cell>
        </row>
        <row r="151">
          <cell r="C151">
            <v>6000.0000000000373</v>
          </cell>
          <cell r="D151">
            <v>8777.7777777778156</v>
          </cell>
          <cell r="E151">
            <v>2777.7777777777778</v>
          </cell>
        </row>
        <row r="152">
          <cell r="C152">
            <v>5972.222222222259</v>
          </cell>
          <cell r="D152">
            <v>8750.0000000000364</v>
          </cell>
          <cell r="E152">
            <v>2777.7777777777778</v>
          </cell>
        </row>
        <row r="153">
          <cell r="C153">
            <v>5944.4444444444816</v>
          </cell>
          <cell r="D153">
            <v>8722.222222222259</v>
          </cell>
          <cell r="E153">
            <v>2777.7777777777778</v>
          </cell>
        </row>
        <row r="154">
          <cell r="C154">
            <v>5916.6666666667043</v>
          </cell>
          <cell r="D154">
            <v>8694.4444444444816</v>
          </cell>
          <cell r="E154">
            <v>2777.7777777777778</v>
          </cell>
        </row>
        <row r="155">
          <cell r="C155">
            <v>5888.8888888889269</v>
          </cell>
          <cell r="D155">
            <v>8666.6666666667043</v>
          </cell>
          <cell r="E155">
            <v>2777.7777777777778</v>
          </cell>
        </row>
        <row r="156">
          <cell r="C156">
            <v>5861.1111111111495</v>
          </cell>
          <cell r="D156">
            <v>8638.8888888889269</v>
          </cell>
          <cell r="E156">
            <v>2777.7777777777778</v>
          </cell>
        </row>
        <row r="157">
          <cell r="C157">
            <v>5833.3333333333721</v>
          </cell>
          <cell r="D157">
            <v>8611.1111111111495</v>
          </cell>
          <cell r="E157">
            <v>2777.7777777777778</v>
          </cell>
        </row>
        <row r="158">
          <cell r="C158">
            <v>5805.5555555555948</v>
          </cell>
          <cell r="D158">
            <v>8583.3333333333721</v>
          </cell>
          <cell r="E158">
            <v>2777.7777777777778</v>
          </cell>
        </row>
        <row r="159">
          <cell r="C159">
            <v>5777.7777777778174</v>
          </cell>
          <cell r="D159">
            <v>8555.5555555555948</v>
          </cell>
          <cell r="E159">
            <v>2777.7777777777778</v>
          </cell>
        </row>
        <row r="160">
          <cell r="C160">
            <v>5750.0000000000391</v>
          </cell>
          <cell r="D160">
            <v>8527.7777777778174</v>
          </cell>
          <cell r="E160">
            <v>2777.7777777777778</v>
          </cell>
        </row>
        <row r="161">
          <cell r="C161">
            <v>5722.2222222222617</v>
          </cell>
          <cell r="D161">
            <v>8500.00000000004</v>
          </cell>
          <cell r="E161">
            <v>2777.7777777777778</v>
          </cell>
        </row>
        <row r="162">
          <cell r="C162">
            <v>5694.4444444444844</v>
          </cell>
          <cell r="D162">
            <v>8472.2222222222626</v>
          </cell>
          <cell r="E162">
            <v>2777.7777777777778</v>
          </cell>
        </row>
        <row r="163">
          <cell r="C163">
            <v>5666.666666666707</v>
          </cell>
          <cell r="D163">
            <v>8444.4444444444853</v>
          </cell>
          <cell r="E163">
            <v>2777.7777777777778</v>
          </cell>
        </row>
        <row r="164">
          <cell r="C164">
            <v>5638.8888888889296</v>
          </cell>
          <cell r="D164">
            <v>8416.6666666667079</v>
          </cell>
          <cell r="E164">
            <v>2777.7777777777778</v>
          </cell>
        </row>
        <row r="165">
          <cell r="C165">
            <v>5611.1111111111522</v>
          </cell>
          <cell r="D165">
            <v>8388.8888888889305</v>
          </cell>
          <cell r="E165">
            <v>2777.7777777777778</v>
          </cell>
        </row>
        <row r="166">
          <cell r="C166">
            <v>5583.3333333333749</v>
          </cell>
          <cell r="D166">
            <v>8361.1111111111531</v>
          </cell>
          <cell r="E166">
            <v>2777.7777777777778</v>
          </cell>
        </row>
        <row r="167">
          <cell r="C167">
            <v>5555.5555555555975</v>
          </cell>
          <cell r="D167">
            <v>8333.3333333333758</v>
          </cell>
          <cell r="E167">
            <v>2777.7777777777778</v>
          </cell>
        </row>
        <row r="168">
          <cell r="C168">
            <v>5527.7777777778201</v>
          </cell>
          <cell r="D168">
            <v>8305.5555555555984</v>
          </cell>
          <cell r="E168">
            <v>2777.7777777777778</v>
          </cell>
        </row>
        <row r="169">
          <cell r="C169">
            <v>5500.0000000000409</v>
          </cell>
          <cell r="D169">
            <v>8277.7777777778192</v>
          </cell>
          <cell r="E169">
            <v>2777.7777777777778</v>
          </cell>
        </row>
        <row r="170">
          <cell r="C170">
            <v>5472.2222222222636</v>
          </cell>
          <cell r="D170">
            <v>8250.0000000000418</v>
          </cell>
          <cell r="E170">
            <v>2777.7777777777778</v>
          </cell>
        </row>
        <row r="171">
          <cell r="C171">
            <v>5444.4444444444862</v>
          </cell>
          <cell r="D171">
            <v>8222.2222222222645</v>
          </cell>
          <cell r="E171">
            <v>2777.7777777777778</v>
          </cell>
        </row>
        <row r="172">
          <cell r="C172">
            <v>5416.6666666667088</v>
          </cell>
          <cell r="D172">
            <v>8194.4444444444871</v>
          </cell>
          <cell r="E172">
            <v>2777.7777777777778</v>
          </cell>
        </row>
        <row r="173">
          <cell r="C173">
            <v>5388.8888888889314</v>
          </cell>
          <cell r="D173">
            <v>8166.6666666667097</v>
          </cell>
          <cell r="E173">
            <v>2777.7777777777778</v>
          </cell>
        </row>
        <row r="174">
          <cell r="C174">
            <v>5361.1111111111541</v>
          </cell>
          <cell r="D174">
            <v>8138.8888888889323</v>
          </cell>
          <cell r="E174">
            <v>2777.7777777777778</v>
          </cell>
        </row>
        <row r="175">
          <cell r="C175">
            <v>5333.3333333333767</v>
          </cell>
          <cell r="D175">
            <v>8111.111111111155</v>
          </cell>
          <cell r="E175">
            <v>2777.7777777777778</v>
          </cell>
        </row>
        <row r="176">
          <cell r="C176">
            <v>5305.5555555555993</v>
          </cell>
          <cell r="D176">
            <v>8083.3333333333776</v>
          </cell>
          <cell r="E176">
            <v>2777.7777777777778</v>
          </cell>
        </row>
        <row r="177">
          <cell r="C177">
            <v>5277.7777777778219</v>
          </cell>
          <cell r="D177">
            <v>8055.5555555556002</v>
          </cell>
          <cell r="E177">
            <v>2777.7777777777778</v>
          </cell>
        </row>
        <row r="178">
          <cell r="C178">
            <v>5250.0000000000446</v>
          </cell>
          <cell r="D178">
            <v>8027.7777777778228</v>
          </cell>
          <cell r="E178">
            <v>2777.7777777777778</v>
          </cell>
        </row>
        <row r="179">
          <cell r="C179">
            <v>5222.2222222222663</v>
          </cell>
          <cell r="D179">
            <v>8000.0000000000437</v>
          </cell>
          <cell r="E179">
            <v>2777.7777777777778</v>
          </cell>
        </row>
        <row r="180">
          <cell r="C180">
            <v>5194.4444444444889</v>
          </cell>
          <cell r="D180">
            <v>7972.2222222222663</v>
          </cell>
          <cell r="E180">
            <v>2777.7777777777778</v>
          </cell>
        </row>
        <row r="181">
          <cell r="C181">
            <v>5166.6666666667115</v>
          </cell>
          <cell r="D181">
            <v>7944.4444444444889</v>
          </cell>
          <cell r="E181">
            <v>2777.7777777777778</v>
          </cell>
        </row>
        <row r="182">
          <cell r="C182">
            <v>5138.8888888889342</v>
          </cell>
          <cell r="D182">
            <v>7916.6666666667115</v>
          </cell>
          <cell r="E182">
            <v>2777.7777777777778</v>
          </cell>
        </row>
        <row r="183">
          <cell r="C183">
            <v>5111.1111111111559</v>
          </cell>
          <cell r="D183">
            <v>7888.8888888889342</v>
          </cell>
          <cell r="E183">
            <v>2777.7777777777778</v>
          </cell>
        </row>
        <row r="184">
          <cell r="C184">
            <v>5083.3333333333785</v>
          </cell>
          <cell r="D184">
            <v>7861.1111111111568</v>
          </cell>
          <cell r="E184">
            <v>2777.7777777777778</v>
          </cell>
        </row>
        <row r="185">
          <cell r="C185">
            <v>5055.5555555556011</v>
          </cell>
          <cell r="D185">
            <v>7833.3333333333794</v>
          </cell>
          <cell r="E185">
            <v>2777.7777777777778</v>
          </cell>
        </row>
        <row r="186">
          <cell r="C186">
            <v>5027.7777777778238</v>
          </cell>
          <cell r="D186">
            <v>7805.555555555602</v>
          </cell>
          <cell r="E186">
            <v>2777.7777777777778</v>
          </cell>
        </row>
        <row r="187">
          <cell r="C187">
            <v>5000.0000000000464</v>
          </cell>
          <cell r="D187">
            <v>7777.7777777778247</v>
          </cell>
          <cell r="E187">
            <v>2777.7777777777778</v>
          </cell>
        </row>
        <row r="188">
          <cell r="C188">
            <v>4972.222222222269</v>
          </cell>
          <cell r="D188">
            <v>7750.0000000000473</v>
          </cell>
          <cell r="E188">
            <v>2777.7777777777778</v>
          </cell>
        </row>
        <row r="189">
          <cell r="C189">
            <v>4944.4444444444916</v>
          </cell>
          <cell r="D189">
            <v>7722.2222222222699</v>
          </cell>
          <cell r="E189">
            <v>2777.7777777777778</v>
          </cell>
        </row>
        <row r="190">
          <cell r="C190">
            <v>4916.6666666667143</v>
          </cell>
          <cell r="D190">
            <v>7694.4444444444925</v>
          </cell>
          <cell r="E190">
            <v>2777.7777777777778</v>
          </cell>
        </row>
        <row r="191">
          <cell r="C191">
            <v>4888.8888888889369</v>
          </cell>
          <cell r="D191">
            <v>7666.6666666667152</v>
          </cell>
          <cell r="E191">
            <v>2777.7777777777778</v>
          </cell>
        </row>
        <row r="192">
          <cell r="C192">
            <v>4861.1111111111586</v>
          </cell>
          <cell r="D192">
            <v>7638.888888888936</v>
          </cell>
          <cell r="E192">
            <v>2777.7777777777778</v>
          </cell>
        </row>
        <row r="193">
          <cell r="C193">
            <v>4833.3333333333812</v>
          </cell>
          <cell r="D193">
            <v>7611.1111111111586</v>
          </cell>
          <cell r="E193">
            <v>2777.7777777777778</v>
          </cell>
        </row>
        <row r="194">
          <cell r="C194">
            <v>4805.5555555556039</v>
          </cell>
          <cell r="D194">
            <v>7583.3333333333812</v>
          </cell>
          <cell r="E194">
            <v>2777.7777777777778</v>
          </cell>
        </row>
        <row r="195">
          <cell r="C195">
            <v>4777.7777777778265</v>
          </cell>
          <cell r="D195">
            <v>7555.5555555556039</v>
          </cell>
          <cell r="E195">
            <v>2777.7777777777778</v>
          </cell>
        </row>
        <row r="196">
          <cell r="C196">
            <v>4750.0000000000482</v>
          </cell>
          <cell r="D196">
            <v>7527.7777777778265</v>
          </cell>
          <cell r="E196">
            <v>2777.7777777777778</v>
          </cell>
        </row>
        <row r="197">
          <cell r="C197">
            <v>4722.2222222222708</v>
          </cell>
          <cell r="D197">
            <v>7500.0000000000491</v>
          </cell>
          <cell r="E197">
            <v>2777.7777777777778</v>
          </cell>
        </row>
        <row r="198">
          <cell r="C198">
            <v>4694.4444444444935</v>
          </cell>
          <cell r="D198">
            <v>7472.2222222222717</v>
          </cell>
          <cell r="E198">
            <v>2777.7777777777778</v>
          </cell>
        </row>
        <row r="199">
          <cell r="C199">
            <v>4666.6666666667161</v>
          </cell>
          <cell r="D199">
            <v>7444.4444444444944</v>
          </cell>
          <cell r="E199">
            <v>2777.7777777777778</v>
          </cell>
        </row>
        <row r="200">
          <cell r="C200">
            <v>4638.8888888889387</v>
          </cell>
          <cell r="D200">
            <v>7416.666666666717</v>
          </cell>
          <cell r="E200">
            <v>2777.7777777777778</v>
          </cell>
        </row>
        <row r="201">
          <cell r="C201">
            <v>4611.1111111111613</v>
          </cell>
          <cell r="D201">
            <v>7388.8888888889396</v>
          </cell>
          <cell r="E201">
            <v>2777.7777777777778</v>
          </cell>
        </row>
        <row r="202">
          <cell r="C202">
            <v>4583.333333333384</v>
          </cell>
          <cell r="D202">
            <v>7361.1111111111622</v>
          </cell>
          <cell r="E202">
            <v>2777.7777777777778</v>
          </cell>
        </row>
        <row r="203">
          <cell r="C203">
            <v>4555.5555555556066</v>
          </cell>
          <cell r="D203">
            <v>7333.3333333333849</v>
          </cell>
          <cell r="E203">
            <v>2777.7777777777778</v>
          </cell>
        </row>
        <row r="204">
          <cell r="C204">
            <v>4527.7777777778283</v>
          </cell>
          <cell r="D204">
            <v>7305.5555555556057</v>
          </cell>
          <cell r="E204">
            <v>2777.7777777777778</v>
          </cell>
        </row>
        <row r="205">
          <cell r="C205">
            <v>4500.0000000000509</v>
          </cell>
          <cell r="D205">
            <v>7277.7777777778283</v>
          </cell>
          <cell r="E205">
            <v>2777.7777777777778</v>
          </cell>
        </row>
        <row r="206">
          <cell r="C206">
            <v>4472.2222222222736</v>
          </cell>
          <cell r="D206">
            <v>7250.0000000000509</v>
          </cell>
          <cell r="E206">
            <v>2777.7777777777778</v>
          </cell>
        </row>
        <row r="207">
          <cell r="C207">
            <v>4444.4444444444962</v>
          </cell>
          <cell r="D207">
            <v>7222.2222222222736</v>
          </cell>
          <cell r="E207">
            <v>2777.7777777777778</v>
          </cell>
        </row>
        <row r="208">
          <cell r="C208">
            <v>4416.6666666667179</v>
          </cell>
          <cell r="D208">
            <v>7194.4444444444962</v>
          </cell>
          <cell r="E208">
            <v>2777.7777777777778</v>
          </cell>
        </row>
        <row r="209">
          <cell r="C209">
            <v>4388.8888888889405</v>
          </cell>
          <cell r="D209">
            <v>7166.6666666667188</v>
          </cell>
          <cell r="E209">
            <v>2777.7777777777778</v>
          </cell>
        </row>
        <row r="210">
          <cell r="C210">
            <v>4361.1111111111632</v>
          </cell>
          <cell r="D210">
            <v>7138.8888888889414</v>
          </cell>
          <cell r="E210">
            <v>2777.7777777777778</v>
          </cell>
        </row>
        <row r="211">
          <cell r="C211">
            <v>4333.3333333333858</v>
          </cell>
          <cell r="D211">
            <v>7111.1111111111641</v>
          </cell>
          <cell r="E211">
            <v>2777.7777777777778</v>
          </cell>
        </row>
        <row r="212">
          <cell r="C212">
            <v>4305.5555555556084</v>
          </cell>
          <cell r="D212">
            <v>7083.3333333333867</v>
          </cell>
          <cell r="E212">
            <v>2777.7777777777778</v>
          </cell>
        </row>
        <row r="213">
          <cell r="C213">
            <v>4277.777777777831</v>
          </cell>
          <cell r="D213">
            <v>7055.5555555556093</v>
          </cell>
          <cell r="E213">
            <v>2777.7777777777778</v>
          </cell>
        </row>
        <row r="214">
          <cell r="C214">
            <v>4250.0000000000537</v>
          </cell>
          <cell r="D214">
            <v>7027.7777777778319</v>
          </cell>
          <cell r="E214">
            <v>2777.7777777777778</v>
          </cell>
        </row>
        <row r="215">
          <cell r="C215">
            <v>4222.2222222222763</v>
          </cell>
          <cell r="D215">
            <v>7000.0000000000546</v>
          </cell>
          <cell r="E215">
            <v>2777.7777777777778</v>
          </cell>
        </row>
        <row r="216">
          <cell r="C216">
            <v>4194.4444444444989</v>
          </cell>
          <cell r="D216">
            <v>6972.2222222222772</v>
          </cell>
          <cell r="E216">
            <v>2777.7777777777778</v>
          </cell>
        </row>
        <row r="217">
          <cell r="C217">
            <v>4166.6666666667206</v>
          </cell>
          <cell r="D217">
            <v>6944.444444444498</v>
          </cell>
          <cell r="E217">
            <v>2777.7777777777778</v>
          </cell>
        </row>
        <row r="218">
          <cell r="C218">
            <v>4138.8888888889433</v>
          </cell>
          <cell r="D218">
            <v>6916.6666666667206</v>
          </cell>
          <cell r="E218">
            <v>2777.7777777777778</v>
          </cell>
        </row>
        <row r="219">
          <cell r="C219">
            <v>4111.1111111111659</v>
          </cell>
          <cell r="D219">
            <v>6888.8888888889433</v>
          </cell>
          <cell r="E219">
            <v>2777.7777777777778</v>
          </cell>
        </row>
        <row r="220">
          <cell r="C220">
            <v>4083.3333333333885</v>
          </cell>
          <cell r="D220">
            <v>6861.1111111111659</v>
          </cell>
          <cell r="E220">
            <v>2777.7777777777778</v>
          </cell>
        </row>
        <row r="221">
          <cell r="C221">
            <v>4055.5555555556107</v>
          </cell>
          <cell r="D221">
            <v>6833.3333333333885</v>
          </cell>
          <cell r="E221">
            <v>2777.7777777777778</v>
          </cell>
        </row>
        <row r="222">
          <cell r="C222">
            <v>4027.7777777778333</v>
          </cell>
          <cell r="D222">
            <v>6805.5555555556111</v>
          </cell>
          <cell r="E222">
            <v>2777.7777777777778</v>
          </cell>
        </row>
        <row r="223">
          <cell r="C223">
            <v>4000.0000000000559</v>
          </cell>
          <cell r="D223">
            <v>6777.7777777778338</v>
          </cell>
          <cell r="E223">
            <v>2777.7777777777778</v>
          </cell>
        </row>
        <row r="224">
          <cell r="C224">
            <v>3972.2222222222786</v>
          </cell>
          <cell r="D224">
            <v>6750.0000000000564</v>
          </cell>
          <cell r="E224">
            <v>2777.7777777777778</v>
          </cell>
        </row>
        <row r="225">
          <cell r="C225">
            <v>3944.4444444445003</v>
          </cell>
          <cell r="D225">
            <v>6722.2222222222781</v>
          </cell>
          <cell r="E225">
            <v>2777.7777777777778</v>
          </cell>
        </row>
        <row r="226">
          <cell r="C226">
            <v>3916.6666666667229</v>
          </cell>
          <cell r="D226">
            <v>6694.4444444445007</v>
          </cell>
          <cell r="E226">
            <v>2777.7777777777778</v>
          </cell>
        </row>
        <row r="227">
          <cell r="C227">
            <v>3888.8888888889455</v>
          </cell>
          <cell r="D227">
            <v>6666.6666666667234</v>
          </cell>
          <cell r="E227">
            <v>2777.7777777777778</v>
          </cell>
        </row>
        <row r="228">
          <cell r="C228">
            <v>3861.1111111111682</v>
          </cell>
          <cell r="D228">
            <v>6638.888888888946</v>
          </cell>
          <cell r="E228">
            <v>2777.7777777777778</v>
          </cell>
        </row>
        <row r="229">
          <cell r="C229">
            <v>3833.3333333333903</v>
          </cell>
          <cell r="D229">
            <v>6611.1111111111677</v>
          </cell>
          <cell r="E229">
            <v>2777.7777777777778</v>
          </cell>
        </row>
        <row r="230">
          <cell r="C230">
            <v>3805.555555555613</v>
          </cell>
          <cell r="D230">
            <v>6583.3333333333903</v>
          </cell>
          <cell r="E230">
            <v>2777.7777777777778</v>
          </cell>
        </row>
        <row r="231">
          <cell r="C231">
            <v>3777.7777777778356</v>
          </cell>
          <cell r="D231">
            <v>6555.555555555613</v>
          </cell>
          <cell r="E231">
            <v>2777.7777777777778</v>
          </cell>
        </row>
        <row r="232">
          <cell r="C232">
            <v>3750.0000000000582</v>
          </cell>
          <cell r="D232">
            <v>6527.7777777778356</v>
          </cell>
          <cell r="E232">
            <v>2777.7777777777778</v>
          </cell>
        </row>
        <row r="233">
          <cell r="C233">
            <v>3722.2222222222808</v>
          </cell>
          <cell r="D233">
            <v>6500.0000000000582</v>
          </cell>
          <cell r="E233">
            <v>2777.7777777777778</v>
          </cell>
        </row>
        <row r="234">
          <cell r="C234">
            <v>3694.444444444503</v>
          </cell>
          <cell r="D234">
            <v>6472.2222222222808</v>
          </cell>
          <cell r="E234">
            <v>2777.7777777777778</v>
          </cell>
        </row>
        <row r="235">
          <cell r="C235">
            <v>3666.6666666667256</v>
          </cell>
          <cell r="D235">
            <v>6444.4444444445035</v>
          </cell>
          <cell r="E235">
            <v>2777.7777777777778</v>
          </cell>
        </row>
        <row r="236">
          <cell r="C236">
            <v>3638.8888888889483</v>
          </cell>
          <cell r="D236">
            <v>6416.6666666667261</v>
          </cell>
          <cell r="E236">
            <v>2777.7777777777778</v>
          </cell>
        </row>
        <row r="237">
          <cell r="C237">
            <v>3611.1111111111709</v>
          </cell>
          <cell r="D237">
            <v>6388.8888888889487</v>
          </cell>
          <cell r="E237">
            <v>2777.7777777777778</v>
          </cell>
        </row>
        <row r="238">
          <cell r="C238">
            <v>3583.3333333333926</v>
          </cell>
          <cell r="D238">
            <v>6361.1111111111704</v>
          </cell>
          <cell r="E238">
            <v>2777.7777777777778</v>
          </cell>
        </row>
        <row r="239">
          <cell r="C239">
            <v>3555.5555555556152</v>
          </cell>
          <cell r="D239">
            <v>6333.3333333333931</v>
          </cell>
          <cell r="E239">
            <v>2777.7777777777778</v>
          </cell>
        </row>
        <row r="240">
          <cell r="C240">
            <v>3527.7777777778379</v>
          </cell>
          <cell r="D240">
            <v>6305.5555555556157</v>
          </cell>
          <cell r="E240">
            <v>2777.7777777777778</v>
          </cell>
        </row>
        <row r="241">
          <cell r="C241">
            <v>3500.0000000000605</v>
          </cell>
          <cell r="D241">
            <v>6277.7777777778383</v>
          </cell>
          <cell r="E241">
            <v>2777.7777777777778</v>
          </cell>
        </row>
        <row r="242">
          <cell r="C242">
            <v>3472.2222222222827</v>
          </cell>
          <cell r="D242">
            <v>6250.00000000006</v>
          </cell>
          <cell r="E242">
            <v>2777.7777777777778</v>
          </cell>
        </row>
        <row r="243">
          <cell r="C243">
            <v>3444.4444444445053</v>
          </cell>
          <cell r="D243">
            <v>6222.2222222222827</v>
          </cell>
          <cell r="E243">
            <v>2777.7777777777778</v>
          </cell>
        </row>
        <row r="244">
          <cell r="C244">
            <v>3416.6666666667279</v>
          </cell>
          <cell r="D244">
            <v>6194.4444444445053</v>
          </cell>
          <cell r="E244">
            <v>2777.7777777777778</v>
          </cell>
        </row>
        <row r="245">
          <cell r="C245">
            <v>3388.8888888889505</v>
          </cell>
          <cell r="D245">
            <v>6166.6666666667279</v>
          </cell>
          <cell r="E245">
            <v>2777.7777777777778</v>
          </cell>
        </row>
        <row r="246">
          <cell r="C246">
            <v>3361.1111111111727</v>
          </cell>
          <cell r="D246">
            <v>6138.8888888889505</v>
          </cell>
          <cell r="E246">
            <v>2777.7777777777778</v>
          </cell>
        </row>
        <row r="247">
          <cell r="C247">
            <v>3333.3333333333953</v>
          </cell>
          <cell r="D247">
            <v>6111.1111111111732</v>
          </cell>
          <cell r="E247">
            <v>2777.7777777777778</v>
          </cell>
        </row>
        <row r="248">
          <cell r="C248">
            <v>3305.555555555618</v>
          </cell>
          <cell r="D248">
            <v>6083.3333333333958</v>
          </cell>
          <cell r="E248">
            <v>2777.7777777777778</v>
          </cell>
        </row>
        <row r="249">
          <cell r="C249">
            <v>3277.7777777778406</v>
          </cell>
          <cell r="D249">
            <v>6055.5555555556184</v>
          </cell>
          <cell r="E249">
            <v>2777.7777777777778</v>
          </cell>
        </row>
        <row r="250">
          <cell r="C250">
            <v>3250.0000000000623</v>
          </cell>
          <cell r="D250">
            <v>6027.7777777778401</v>
          </cell>
          <cell r="E250">
            <v>2777.7777777777778</v>
          </cell>
        </row>
        <row r="251">
          <cell r="C251">
            <v>3222.2222222222849</v>
          </cell>
          <cell r="D251">
            <v>6000.0000000000628</v>
          </cell>
          <cell r="E251">
            <v>2777.7777777777778</v>
          </cell>
        </row>
        <row r="252">
          <cell r="C252">
            <v>3194.4444444445076</v>
          </cell>
          <cell r="D252">
            <v>5972.2222222222854</v>
          </cell>
          <cell r="E252">
            <v>2777.7777777777778</v>
          </cell>
        </row>
        <row r="253">
          <cell r="C253">
            <v>3166.6666666667302</v>
          </cell>
          <cell r="D253">
            <v>5944.444444444508</v>
          </cell>
          <cell r="E253">
            <v>2777.7777777777778</v>
          </cell>
        </row>
        <row r="254">
          <cell r="C254">
            <v>3138.8888888889528</v>
          </cell>
          <cell r="D254">
            <v>5916.6666666667306</v>
          </cell>
          <cell r="E254">
            <v>2777.7777777777778</v>
          </cell>
        </row>
        <row r="255">
          <cell r="C255">
            <v>3111.111111111175</v>
          </cell>
          <cell r="D255">
            <v>5888.8888888889524</v>
          </cell>
          <cell r="E255">
            <v>2777.7777777777778</v>
          </cell>
        </row>
        <row r="256">
          <cell r="C256">
            <v>3083.3333333333976</v>
          </cell>
          <cell r="D256">
            <v>5861.111111111175</v>
          </cell>
          <cell r="E256">
            <v>2777.7777777777778</v>
          </cell>
        </row>
        <row r="257">
          <cell r="C257">
            <v>3055.5555555556202</v>
          </cell>
          <cell r="D257">
            <v>5833.3333333333976</v>
          </cell>
          <cell r="E257">
            <v>2777.7777777777778</v>
          </cell>
        </row>
        <row r="258">
          <cell r="C258">
            <v>3027.7777777778429</v>
          </cell>
          <cell r="D258">
            <v>5805.5555555556202</v>
          </cell>
          <cell r="E258">
            <v>2777.7777777777778</v>
          </cell>
        </row>
        <row r="259">
          <cell r="C259">
            <v>3000.000000000065</v>
          </cell>
          <cell r="D259">
            <v>5777.7777777778429</v>
          </cell>
          <cell r="E259">
            <v>2777.7777777777778</v>
          </cell>
        </row>
        <row r="260">
          <cell r="C260">
            <v>2972.2222222222877</v>
          </cell>
          <cell r="D260">
            <v>5750.0000000000655</v>
          </cell>
          <cell r="E260">
            <v>2777.7777777777778</v>
          </cell>
        </row>
        <row r="261">
          <cell r="C261">
            <v>2944.4444444445103</v>
          </cell>
          <cell r="D261">
            <v>5722.2222222222881</v>
          </cell>
          <cell r="E261">
            <v>2777.7777777777778</v>
          </cell>
        </row>
        <row r="262">
          <cell r="C262">
            <v>2916.6666666667329</v>
          </cell>
          <cell r="D262">
            <v>5694.4444444445107</v>
          </cell>
          <cell r="E262">
            <v>2777.7777777777778</v>
          </cell>
        </row>
        <row r="263">
          <cell r="C263">
            <v>2888.8888888889546</v>
          </cell>
          <cell r="D263">
            <v>5666.6666666667325</v>
          </cell>
          <cell r="E263">
            <v>2777.7777777777778</v>
          </cell>
        </row>
        <row r="264">
          <cell r="C264">
            <v>2861.1111111111773</v>
          </cell>
          <cell r="D264">
            <v>5638.8888888889551</v>
          </cell>
          <cell r="E264">
            <v>2777.7777777777778</v>
          </cell>
        </row>
        <row r="265">
          <cell r="C265">
            <v>2833.3333333333999</v>
          </cell>
          <cell r="D265">
            <v>5611.1111111111777</v>
          </cell>
          <cell r="E265">
            <v>2777.7777777777778</v>
          </cell>
        </row>
        <row r="266">
          <cell r="C266">
            <v>2805.5555555556225</v>
          </cell>
          <cell r="D266">
            <v>5583.3333333334003</v>
          </cell>
          <cell r="E266">
            <v>2777.7777777777778</v>
          </cell>
        </row>
        <row r="267">
          <cell r="C267">
            <v>2777.7777777778447</v>
          </cell>
          <cell r="D267">
            <v>5555.555555555622</v>
          </cell>
          <cell r="E267">
            <v>2777.7777777777778</v>
          </cell>
        </row>
        <row r="268">
          <cell r="C268">
            <v>2750.0000000000673</v>
          </cell>
          <cell r="D268">
            <v>5527.7777777778447</v>
          </cell>
          <cell r="E268">
            <v>2777.7777777777778</v>
          </cell>
        </row>
        <row r="269">
          <cell r="C269">
            <v>2722.2222222222899</v>
          </cell>
          <cell r="D269">
            <v>5500.0000000000673</v>
          </cell>
          <cell r="E269">
            <v>2777.7777777777778</v>
          </cell>
        </row>
        <row r="270">
          <cell r="C270">
            <v>2694.4444444445121</v>
          </cell>
          <cell r="D270">
            <v>5472.2222222222899</v>
          </cell>
          <cell r="E270">
            <v>2777.7777777777778</v>
          </cell>
        </row>
        <row r="271">
          <cell r="C271">
            <v>2666.6666666667347</v>
          </cell>
          <cell r="D271">
            <v>5444.4444444445126</v>
          </cell>
          <cell r="E271">
            <v>2777.7777777777778</v>
          </cell>
        </row>
        <row r="272">
          <cell r="C272">
            <v>2638.8888888889574</v>
          </cell>
          <cell r="D272">
            <v>5416.6666666667352</v>
          </cell>
          <cell r="E272">
            <v>2777.7777777777778</v>
          </cell>
        </row>
        <row r="273">
          <cell r="C273">
            <v>2611.1111111111795</v>
          </cell>
          <cell r="D273">
            <v>5388.8888888889578</v>
          </cell>
          <cell r="E273">
            <v>2777.7777777777778</v>
          </cell>
        </row>
        <row r="274">
          <cell r="C274">
            <v>2583.3333333334017</v>
          </cell>
          <cell r="D274">
            <v>5361.1111111111795</v>
          </cell>
          <cell r="E274">
            <v>2777.7777777777778</v>
          </cell>
        </row>
        <row r="275">
          <cell r="C275">
            <v>2555.5555555556239</v>
          </cell>
          <cell r="D275">
            <v>5333.3333333334012</v>
          </cell>
          <cell r="E275">
            <v>2777.7777777777778</v>
          </cell>
        </row>
        <row r="276">
          <cell r="C276">
            <v>2527.777777777846</v>
          </cell>
          <cell r="D276">
            <v>5305.5555555556239</v>
          </cell>
          <cell r="E276">
            <v>2777.7777777777778</v>
          </cell>
        </row>
        <row r="277">
          <cell r="C277">
            <v>2500.0000000000682</v>
          </cell>
          <cell r="D277">
            <v>5277.7777777778465</v>
          </cell>
          <cell r="E277">
            <v>2777.7777777777778</v>
          </cell>
        </row>
        <row r="278">
          <cell r="C278">
            <v>2472.2222222222904</v>
          </cell>
          <cell r="D278">
            <v>5250.0000000000682</v>
          </cell>
          <cell r="E278">
            <v>2777.7777777777778</v>
          </cell>
        </row>
        <row r="279">
          <cell r="C279">
            <v>2444.4444444445126</v>
          </cell>
          <cell r="D279">
            <v>5222.2222222222899</v>
          </cell>
          <cell r="E279">
            <v>2777.7777777777778</v>
          </cell>
        </row>
        <row r="280">
          <cell r="C280">
            <v>2416.6666666667347</v>
          </cell>
          <cell r="D280">
            <v>5194.4444444445126</v>
          </cell>
          <cell r="E280">
            <v>2777.7777777777778</v>
          </cell>
        </row>
        <row r="281">
          <cell r="C281">
            <v>2388.8888888889574</v>
          </cell>
          <cell r="D281">
            <v>5166.6666666667352</v>
          </cell>
          <cell r="E281">
            <v>2777.7777777777778</v>
          </cell>
        </row>
        <row r="282">
          <cell r="C282">
            <v>2361.1111111111791</v>
          </cell>
          <cell r="D282">
            <v>5138.8888888889569</v>
          </cell>
          <cell r="E282">
            <v>2777.7777777777778</v>
          </cell>
        </row>
        <row r="283">
          <cell r="C283">
            <v>2333.3333333334017</v>
          </cell>
          <cell r="D283">
            <v>5111.1111111111795</v>
          </cell>
          <cell r="E283">
            <v>2777.7777777777778</v>
          </cell>
        </row>
        <row r="284">
          <cell r="C284">
            <v>2305.5555555556234</v>
          </cell>
          <cell r="D284">
            <v>5083.3333333334012</v>
          </cell>
          <cell r="E284">
            <v>2777.7777777777778</v>
          </cell>
        </row>
        <row r="285">
          <cell r="C285">
            <v>2277.777777777846</v>
          </cell>
          <cell r="D285">
            <v>5055.5555555556239</v>
          </cell>
          <cell r="E285">
            <v>2777.7777777777778</v>
          </cell>
        </row>
        <row r="286">
          <cell r="C286">
            <v>2250.0000000000678</v>
          </cell>
          <cell r="D286">
            <v>5027.7777777778456</v>
          </cell>
          <cell r="E286">
            <v>2777.7777777777778</v>
          </cell>
        </row>
        <row r="287">
          <cell r="C287">
            <v>2222.2222222222904</v>
          </cell>
          <cell r="D287">
            <v>5000.0000000000682</v>
          </cell>
          <cell r="E287">
            <v>2777.7777777777778</v>
          </cell>
        </row>
        <row r="288">
          <cell r="C288">
            <v>2194.4444444445121</v>
          </cell>
          <cell r="D288">
            <v>4972.2222222222899</v>
          </cell>
          <cell r="E288">
            <v>2777.7777777777778</v>
          </cell>
        </row>
        <row r="289">
          <cell r="C289">
            <v>2166.6666666667347</v>
          </cell>
          <cell r="D289">
            <v>4944.4444444445126</v>
          </cell>
          <cell r="E289">
            <v>2777.7777777777778</v>
          </cell>
        </row>
        <row r="290">
          <cell r="C290">
            <v>2138.8888888889569</v>
          </cell>
          <cell r="D290">
            <v>4916.6666666667352</v>
          </cell>
          <cell r="E290">
            <v>2777.7777777777778</v>
          </cell>
        </row>
        <row r="291">
          <cell r="C291">
            <v>2111.1111111111791</v>
          </cell>
          <cell r="D291">
            <v>4888.8888888889569</v>
          </cell>
          <cell r="E291">
            <v>2777.7777777777778</v>
          </cell>
        </row>
        <row r="292">
          <cell r="C292">
            <v>2083.3333333334012</v>
          </cell>
          <cell r="D292">
            <v>4861.1111111111786</v>
          </cell>
          <cell r="E292">
            <v>2777.7777777777778</v>
          </cell>
        </row>
        <row r="293">
          <cell r="C293">
            <v>2055.5555555556234</v>
          </cell>
          <cell r="D293">
            <v>4833.3333333334012</v>
          </cell>
          <cell r="E293">
            <v>2777.7777777777778</v>
          </cell>
        </row>
        <row r="294">
          <cell r="C294">
            <v>2027.7777777778456</v>
          </cell>
          <cell r="D294">
            <v>4805.5555555556239</v>
          </cell>
          <cell r="E294">
            <v>2777.7777777777778</v>
          </cell>
        </row>
        <row r="295">
          <cell r="C295">
            <v>2000.0000000000675</v>
          </cell>
          <cell r="D295">
            <v>4777.7777777778456</v>
          </cell>
          <cell r="E295">
            <v>2777.7777777777778</v>
          </cell>
        </row>
        <row r="296">
          <cell r="C296">
            <v>1972.2222222222899</v>
          </cell>
          <cell r="D296">
            <v>4750.0000000000673</v>
          </cell>
          <cell r="E296">
            <v>2777.7777777777778</v>
          </cell>
        </row>
        <row r="297">
          <cell r="C297">
            <v>1944.4444444445123</v>
          </cell>
          <cell r="D297">
            <v>4722.2222222222899</v>
          </cell>
          <cell r="E297">
            <v>2777.7777777777778</v>
          </cell>
        </row>
        <row r="298">
          <cell r="C298">
            <v>1916.6666666667343</v>
          </cell>
          <cell r="D298">
            <v>4694.4444444445126</v>
          </cell>
          <cell r="E298">
            <v>2777.7777777777778</v>
          </cell>
        </row>
        <row r="299">
          <cell r="C299">
            <v>1888.8888888889567</v>
          </cell>
          <cell r="D299">
            <v>4666.6666666667343</v>
          </cell>
          <cell r="E299">
            <v>2777.7777777777778</v>
          </cell>
        </row>
        <row r="300">
          <cell r="C300">
            <v>1861.1111111111786</v>
          </cell>
          <cell r="D300">
            <v>4638.888888888956</v>
          </cell>
          <cell r="E300">
            <v>2777.7777777777778</v>
          </cell>
        </row>
        <row r="301">
          <cell r="C301">
            <v>1833.333333333401</v>
          </cell>
          <cell r="D301">
            <v>4611.1111111111786</v>
          </cell>
          <cell r="E301">
            <v>2777.7777777777778</v>
          </cell>
        </row>
        <row r="302">
          <cell r="C302">
            <v>1805.555555555623</v>
          </cell>
          <cell r="D302">
            <v>4583.3333333334012</v>
          </cell>
          <cell r="E302">
            <v>2777.7777777777778</v>
          </cell>
        </row>
        <row r="303">
          <cell r="C303">
            <v>1777.7777777778454</v>
          </cell>
          <cell r="D303">
            <v>4555.555555555623</v>
          </cell>
          <cell r="E303">
            <v>2777.7777777777778</v>
          </cell>
        </row>
        <row r="304">
          <cell r="C304">
            <v>1750.0000000000675</v>
          </cell>
          <cell r="D304">
            <v>4527.7777777778456</v>
          </cell>
          <cell r="E304">
            <v>2777.7777777777778</v>
          </cell>
        </row>
        <row r="305">
          <cell r="C305">
            <v>1722.2222222222897</v>
          </cell>
          <cell r="D305">
            <v>4500.0000000000673</v>
          </cell>
          <cell r="E305">
            <v>2777.7777777777778</v>
          </cell>
        </row>
        <row r="306">
          <cell r="C306">
            <v>1694.4444444445119</v>
          </cell>
          <cell r="D306">
            <v>4472.2222222222899</v>
          </cell>
          <cell r="E306">
            <v>2777.7777777777778</v>
          </cell>
        </row>
        <row r="307">
          <cell r="C307">
            <v>1666.666666666734</v>
          </cell>
          <cell r="D307">
            <v>4444.4444444445116</v>
          </cell>
          <cell r="E307">
            <v>2777.7777777777778</v>
          </cell>
        </row>
        <row r="308">
          <cell r="C308">
            <v>1638.8888888889562</v>
          </cell>
          <cell r="D308">
            <v>4416.6666666667343</v>
          </cell>
          <cell r="E308">
            <v>2777.7777777777778</v>
          </cell>
        </row>
        <row r="309">
          <cell r="C309">
            <v>1611.1111111111784</v>
          </cell>
          <cell r="D309">
            <v>4388.888888888956</v>
          </cell>
          <cell r="E309">
            <v>2777.7777777777778</v>
          </cell>
        </row>
        <row r="310">
          <cell r="C310">
            <v>1583.3333333334006</v>
          </cell>
          <cell r="D310">
            <v>4361.1111111111786</v>
          </cell>
          <cell r="E310">
            <v>2777.7777777777778</v>
          </cell>
        </row>
        <row r="311">
          <cell r="C311">
            <v>1555.5555555556227</v>
          </cell>
          <cell r="D311">
            <v>4333.3333333334003</v>
          </cell>
          <cell r="E311">
            <v>2777.7777777777778</v>
          </cell>
        </row>
        <row r="312">
          <cell r="C312">
            <v>1527.7777777778449</v>
          </cell>
          <cell r="D312">
            <v>4305.555555555623</v>
          </cell>
          <cell r="E312">
            <v>2777.7777777777778</v>
          </cell>
        </row>
        <row r="313">
          <cell r="C313">
            <v>1500.0000000000673</v>
          </cell>
          <cell r="D313">
            <v>4277.7777777778447</v>
          </cell>
          <cell r="E313">
            <v>2777.7777777777778</v>
          </cell>
        </row>
        <row r="314">
          <cell r="C314">
            <v>1472.2222222222892</v>
          </cell>
          <cell r="D314">
            <v>4250.0000000000673</v>
          </cell>
          <cell r="E314">
            <v>2777.7777777777778</v>
          </cell>
        </row>
        <row r="315">
          <cell r="C315">
            <v>1444.4444444445116</v>
          </cell>
          <cell r="D315">
            <v>4222.2222222222899</v>
          </cell>
          <cell r="E315">
            <v>2777.7777777777778</v>
          </cell>
        </row>
        <row r="316">
          <cell r="C316">
            <v>1416.6666666667336</v>
          </cell>
          <cell r="D316">
            <v>4194.4444444445116</v>
          </cell>
          <cell r="E316">
            <v>2777.7777777777778</v>
          </cell>
        </row>
        <row r="317">
          <cell r="C317">
            <v>1388.888888888956</v>
          </cell>
          <cell r="D317">
            <v>4166.6666666667334</v>
          </cell>
          <cell r="E317">
            <v>2777.7777777777778</v>
          </cell>
        </row>
        <row r="318">
          <cell r="C318">
            <v>1361.1111111111782</v>
          </cell>
          <cell r="D318">
            <v>4138.888888888956</v>
          </cell>
          <cell r="E318">
            <v>2777.7777777777778</v>
          </cell>
        </row>
        <row r="319">
          <cell r="C319">
            <v>1333.3333333334003</v>
          </cell>
          <cell r="D319">
            <v>4111.1111111111786</v>
          </cell>
          <cell r="E319">
            <v>2777.7777777777778</v>
          </cell>
        </row>
        <row r="320">
          <cell r="C320">
            <v>1305.5555555556225</v>
          </cell>
          <cell r="D320">
            <v>4083.3333333334003</v>
          </cell>
          <cell r="E320">
            <v>2777.7777777777778</v>
          </cell>
        </row>
        <row r="321">
          <cell r="C321">
            <v>1277.7777777778447</v>
          </cell>
          <cell r="D321">
            <v>4055.5555555556225</v>
          </cell>
          <cell r="E321">
            <v>2777.7777777777778</v>
          </cell>
        </row>
        <row r="322">
          <cell r="C322">
            <v>1250.0000000000668</v>
          </cell>
          <cell r="D322">
            <v>4027.7777777778447</v>
          </cell>
          <cell r="E322">
            <v>2777.7777777777778</v>
          </cell>
        </row>
        <row r="323">
          <cell r="C323">
            <v>1222.222222222289</v>
          </cell>
          <cell r="D323">
            <v>4000.0000000000668</v>
          </cell>
          <cell r="E323">
            <v>2777.7777777777778</v>
          </cell>
        </row>
        <row r="324">
          <cell r="C324">
            <v>1194.4444444445114</v>
          </cell>
          <cell r="D324">
            <v>3972.222222222289</v>
          </cell>
          <cell r="E324">
            <v>2777.7777777777778</v>
          </cell>
        </row>
        <row r="325">
          <cell r="C325">
            <v>1166.6666666667336</v>
          </cell>
          <cell r="D325">
            <v>3944.4444444445116</v>
          </cell>
          <cell r="E325">
            <v>2777.7777777777778</v>
          </cell>
        </row>
        <row r="326">
          <cell r="C326">
            <v>1138.8888888889558</v>
          </cell>
          <cell r="D326">
            <v>3916.6666666667334</v>
          </cell>
          <cell r="E326">
            <v>2777.7777777777778</v>
          </cell>
        </row>
        <row r="327">
          <cell r="C327">
            <v>1111.1111111111779</v>
          </cell>
          <cell r="D327">
            <v>3888.888888888956</v>
          </cell>
          <cell r="E327">
            <v>2777.7777777777778</v>
          </cell>
        </row>
        <row r="328">
          <cell r="C328">
            <v>1083.3333333334001</v>
          </cell>
          <cell r="D328">
            <v>3861.1111111111777</v>
          </cell>
          <cell r="E328">
            <v>2777.7777777777778</v>
          </cell>
        </row>
        <row r="329">
          <cell r="C329">
            <v>1055.5555555556223</v>
          </cell>
          <cell r="D329">
            <v>3833.3333333334003</v>
          </cell>
          <cell r="E329">
            <v>2777.7777777777778</v>
          </cell>
        </row>
        <row r="330">
          <cell r="C330">
            <v>1027.7777777778444</v>
          </cell>
          <cell r="D330">
            <v>3805.555555555622</v>
          </cell>
          <cell r="E330">
            <v>2777.7777777777778</v>
          </cell>
        </row>
        <row r="331">
          <cell r="C331">
            <v>1000.0000000000665</v>
          </cell>
          <cell r="D331">
            <v>3777.7777777778442</v>
          </cell>
          <cell r="E331">
            <v>2777.7777777777778</v>
          </cell>
        </row>
        <row r="332">
          <cell r="C332">
            <v>972.22222222228891</v>
          </cell>
          <cell r="D332">
            <v>3750.0000000000668</v>
          </cell>
          <cell r="E332">
            <v>2777.7777777777778</v>
          </cell>
        </row>
        <row r="333">
          <cell r="C333">
            <v>944.44444444451108</v>
          </cell>
          <cell r="D333">
            <v>3722.222222222289</v>
          </cell>
          <cell r="E333">
            <v>2777.7777777777778</v>
          </cell>
        </row>
        <row r="334">
          <cell r="C334">
            <v>916.66666666673325</v>
          </cell>
          <cell r="D334">
            <v>3694.4444444445112</v>
          </cell>
          <cell r="E334">
            <v>2777.7777777777778</v>
          </cell>
        </row>
        <row r="335">
          <cell r="C335">
            <v>888.88888888895542</v>
          </cell>
          <cell r="D335">
            <v>3666.6666666667334</v>
          </cell>
          <cell r="E335">
            <v>2777.7777777777778</v>
          </cell>
        </row>
        <row r="336">
          <cell r="C336">
            <v>861.11111111117759</v>
          </cell>
          <cell r="D336">
            <v>3638.8888888889555</v>
          </cell>
          <cell r="E336">
            <v>2777.7777777777778</v>
          </cell>
        </row>
        <row r="337">
          <cell r="C337">
            <v>833.33333333339976</v>
          </cell>
          <cell r="D337">
            <v>3611.1111111111777</v>
          </cell>
          <cell r="E337">
            <v>2777.7777777777778</v>
          </cell>
        </row>
        <row r="338">
          <cell r="C338">
            <v>805.55555555562194</v>
          </cell>
          <cell r="D338">
            <v>3583.3333333333999</v>
          </cell>
          <cell r="E338">
            <v>2777.7777777777778</v>
          </cell>
        </row>
        <row r="339">
          <cell r="C339">
            <v>777.77777777784411</v>
          </cell>
          <cell r="D339">
            <v>3555.555555555622</v>
          </cell>
          <cell r="E339">
            <v>2777.7777777777778</v>
          </cell>
        </row>
        <row r="340">
          <cell r="C340">
            <v>750.00000000006639</v>
          </cell>
          <cell r="D340">
            <v>3527.7777777778442</v>
          </cell>
          <cell r="E340">
            <v>2777.7777777777778</v>
          </cell>
        </row>
        <row r="341">
          <cell r="C341">
            <v>722.22222222228856</v>
          </cell>
          <cell r="D341">
            <v>3500.0000000000664</v>
          </cell>
          <cell r="E341">
            <v>2777.7777777777778</v>
          </cell>
        </row>
        <row r="342">
          <cell r="C342">
            <v>694.44444444451074</v>
          </cell>
          <cell r="D342">
            <v>3472.2222222222886</v>
          </cell>
          <cell r="E342">
            <v>2777.7777777777778</v>
          </cell>
        </row>
        <row r="343">
          <cell r="C343">
            <v>666.66666666673291</v>
          </cell>
          <cell r="D343">
            <v>3444.4444444445107</v>
          </cell>
          <cell r="E343">
            <v>2777.7777777777778</v>
          </cell>
        </row>
        <row r="344">
          <cell r="C344">
            <v>638.88888888895508</v>
          </cell>
          <cell r="D344">
            <v>3416.6666666667329</v>
          </cell>
          <cell r="E344">
            <v>2777.7777777777778</v>
          </cell>
        </row>
        <row r="345">
          <cell r="C345">
            <v>611.11111111117725</v>
          </cell>
          <cell r="D345">
            <v>3388.8888888889551</v>
          </cell>
          <cell r="E345">
            <v>2777.7777777777778</v>
          </cell>
        </row>
        <row r="346">
          <cell r="C346">
            <v>583.33333333339954</v>
          </cell>
          <cell r="D346">
            <v>3361.1111111111773</v>
          </cell>
          <cell r="E346">
            <v>2777.7777777777778</v>
          </cell>
        </row>
        <row r="347">
          <cell r="C347">
            <v>555.55555555562171</v>
          </cell>
          <cell r="D347">
            <v>3333.3333333333994</v>
          </cell>
          <cell r="E347">
            <v>2777.7777777777778</v>
          </cell>
        </row>
        <row r="348">
          <cell r="C348">
            <v>527.77777777784388</v>
          </cell>
          <cell r="D348">
            <v>3305.5555555556216</v>
          </cell>
          <cell r="E348">
            <v>2777.7777777777778</v>
          </cell>
        </row>
        <row r="349">
          <cell r="C349">
            <v>500.000000000066</v>
          </cell>
          <cell r="D349">
            <v>3277.7777777778438</v>
          </cell>
          <cell r="E349">
            <v>2777.7777777777778</v>
          </cell>
        </row>
        <row r="350">
          <cell r="C350">
            <v>472.22222222228828</v>
          </cell>
          <cell r="D350">
            <v>3250.0000000000659</v>
          </cell>
          <cell r="E350">
            <v>2777.7777777777778</v>
          </cell>
        </row>
        <row r="351">
          <cell r="C351">
            <v>444.44444444451045</v>
          </cell>
          <cell r="D351">
            <v>3222.2222222222881</v>
          </cell>
          <cell r="E351">
            <v>2777.7777777777778</v>
          </cell>
        </row>
        <row r="352">
          <cell r="C352">
            <v>416.66666666673262</v>
          </cell>
          <cell r="D352">
            <v>3194.4444444445103</v>
          </cell>
          <cell r="E352">
            <v>2777.7777777777778</v>
          </cell>
        </row>
        <row r="353">
          <cell r="C353">
            <v>388.8888888889548</v>
          </cell>
          <cell r="D353">
            <v>3166.6666666667325</v>
          </cell>
          <cell r="E353">
            <v>2777.7777777777778</v>
          </cell>
        </row>
        <row r="354">
          <cell r="C354">
            <v>361.11111111117702</v>
          </cell>
          <cell r="D354">
            <v>3138.8888888889551</v>
          </cell>
          <cell r="E354">
            <v>2777.7777777777778</v>
          </cell>
        </row>
        <row r="355">
          <cell r="C355">
            <v>333.3333333333992</v>
          </cell>
          <cell r="D355">
            <v>3111.1111111111768</v>
          </cell>
          <cell r="E355">
            <v>2777.7777777777778</v>
          </cell>
        </row>
        <row r="356">
          <cell r="C356">
            <v>305.55555555562142</v>
          </cell>
          <cell r="D356">
            <v>3083.3333333333994</v>
          </cell>
          <cell r="E356">
            <v>2777.7777777777778</v>
          </cell>
        </row>
        <row r="357">
          <cell r="C357">
            <v>277.77777777784365</v>
          </cell>
          <cell r="D357">
            <v>3055.5555555556216</v>
          </cell>
          <cell r="E357">
            <v>2777.7777777777778</v>
          </cell>
        </row>
        <row r="358">
          <cell r="C358">
            <v>250.00000000006585</v>
          </cell>
          <cell r="D358">
            <v>3027.7777777778438</v>
          </cell>
          <cell r="E358">
            <v>2777.7777777777778</v>
          </cell>
        </row>
        <row r="359">
          <cell r="C359">
            <v>222.22222222228811</v>
          </cell>
          <cell r="D359">
            <v>3000.0000000000659</v>
          </cell>
          <cell r="E359">
            <v>2777.7777777777778</v>
          </cell>
        </row>
        <row r="360">
          <cell r="C360">
            <v>194.44444444451031</v>
          </cell>
          <cell r="D360">
            <v>2972.2222222222881</v>
          </cell>
          <cell r="E360">
            <v>2777.7777777777778</v>
          </cell>
        </row>
        <row r="361">
          <cell r="C361">
            <v>166.66666666673254</v>
          </cell>
          <cell r="D361">
            <v>2944.4444444445103</v>
          </cell>
          <cell r="E361">
            <v>2777.7777777777778</v>
          </cell>
        </row>
        <row r="362">
          <cell r="C362">
            <v>138.88888888895477</v>
          </cell>
          <cell r="D362">
            <v>2916.6666666667325</v>
          </cell>
          <cell r="E362">
            <v>2777.7777777777778</v>
          </cell>
        </row>
        <row r="363">
          <cell r="C363">
            <v>111.11111111117701</v>
          </cell>
          <cell r="D363">
            <v>2888.8888888889546</v>
          </cell>
          <cell r="E363">
            <v>2777.7777777777778</v>
          </cell>
        </row>
        <row r="364">
          <cell r="C364">
            <v>83.333333333399239</v>
          </cell>
          <cell r="D364">
            <v>2861.1111111111773</v>
          </cell>
          <cell r="E364">
            <v>2777.7777777777778</v>
          </cell>
        </row>
        <row r="365">
          <cell r="C365">
            <v>55.55555555562146</v>
          </cell>
          <cell r="D365">
            <v>2833.3333333333994</v>
          </cell>
          <cell r="E365">
            <v>2777.7777777777778</v>
          </cell>
        </row>
        <row r="366">
          <cell r="C366">
            <v>27.777777777843685</v>
          </cell>
          <cell r="D366">
            <v>2805.5555555556216</v>
          </cell>
          <cell r="E366">
            <v>2777.7777777777778</v>
          </cell>
        </row>
      </sheetData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"/>
      <sheetName val="Exhs 18-1-3"/>
      <sheetName val="Esaki Data"/>
      <sheetName val="Esaki Haz Calcs"/>
      <sheetName val="Exh 18-5"/>
      <sheetName val="GLCMPI CL data"/>
      <sheetName val="GLCMPI Qtrly"/>
      <sheetName val="3yrLoanExmpl"/>
      <sheetName val="YldDegr"/>
      <sheetName val="ContractCFsExhs1-2"/>
      <sheetName val="E(CFs)30yrs"/>
      <sheetName val="Exh 18-6"/>
      <sheetName val="Exh 18-6b"/>
      <sheetName val="Modified loan"/>
      <sheetName val="Partic exh 18-7"/>
    </sheetNames>
    <sheetDataSet>
      <sheetData sheetId="0" refreshError="1"/>
      <sheetData sheetId="1" refreshError="1"/>
      <sheetData sheetId="2">
        <row r="6">
          <cell r="A6">
            <v>72</v>
          </cell>
        </row>
      </sheetData>
      <sheetData sheetId="3">
        <row r="5">
          <cell r="B5" t="str">
            <v>Hazard</v>
          </cell>
        </row>
        <row r="6">
          <cell r="A6">
            <v>1</v>
          </cell>
          <cell r="B6">
            <v>3.3E-3</v>
          </cell>
          <cell r="D6">
            <v>0.99670000000000003</v>
          </cell>
        </row>
        <row r="7">
          <cell r="A7">
            <v>2</v>
          </cell>
          <cell r="B7">
            <v>1.1900000000000001E-2</v>
          </cell>
          <cell r="D7">
            <v>0.98483927000000004</v>
          </cell>
        </row>
        <row r="8">
          <cell r="A8">
            <v>3</v>
          </cell>
          <cell r="B8">
            <v>1.6400000000000001E-2</v>
          </cell>
          <cell r="D8">
            <v>0.96868790597200005</v>
          </cell>
        </row>
        <row r="9">
          <cell r="A9">
            <v>4</v>
          </cell>
          <cell r="B9">
            <v>1.7100000000000001E-2</v>
          </cell>
          <cell r="D9">
            <v>0.95212334277987887</v>
          </cell>
        </row>
        <row r="10">
          <cell r="A10">
            <v>5</v>
          </cell>
          <cell r="B10">
            <v>1.67E-2</v>
          </cell>
          <cell r="D10">
            <v>0.93622288295545486</v>
          </cell>
        </row>
        <row r="11">
          <cell r="A11">
            <v>6</v>
          </cell>
          <cell r="B11">
            <v>1.8100000000000002E-2</v>
          </cell>
          <cell r="D11">
            <v>0.91927724877396111</v>
          </cell>
        </row>
        <row r="12">
          <cell r="A12">
            <v>7</v>
          </cell>
          <cell r="B12">
            <v>1.66E-2</v>
          </cell>
          <cell r="D12">
            <v>0.90401724644431336</v>
          </cell>
        </row>
        <row r="13">
          <cell r="A13">
            <v>8</v>
          </cell>
          <cell r="B13">
            <v>1.0800000000000001E-2</v>
          </cell>
          <cell r="D13">
            <v>0.8942538601827148</v>
          </cell>
        </row>
        <row r="14">
          <cell r="A14">
            <v>9</v>
          </cell>
          <cell r="B14">
            <v>9.5999999999999992E-3</v>
          </cell>
          <cell r="D14">
            <v>0.88566902312496065</v>
          </cell>
        </row>
        <row r="15">
          <cell r="A15">
            <v>10</v>
          </cell>
          <cell r="B15">
            <v>7.1999999999999998E-3</v>
          </cell>
          <cell r="D15">
            <v>0.87929220615846093</v>
          </cell>
        </row>
        <row r="16">
          <cell r="A16">
            <v>11</v>
          </cell>
          <cell r="B16">
            <v>6.8999999999999999E-3</v>
          </cell>
          <cell r="D16">
            <v>0.87322508993596759</v>
          </cell>
        </row>
        <row r="17">
          <cell r="A17">
            <v>12</v>
          </cell>
          <cell r="B17">
            <v>5.4999999999999997E-3</v>
          </cell>
          <cell r="D17">
            <v>0.86842235194131978</v>
          </cell>
        </row>
        <row r="18">
          <cell r="A18">
            <v>13</v>
          </cell>
          <cell r="B18">
            <v>5.1000000000000004E-3</v>
          </cell>
          <cell r="D18">
            <v>0.86399339794641905</v>
          </cell>
        </row>
        <row r="19">
          <cell r="A19">
            <v>14</v>
          </cell>
          <cell r="B19">
            <v>4.3E-3</v>
          </cell>
          <cell r="D19">
            <v>0.86027822633524953</v>
          </cell>
        </row>
        <row r="20">
          <cell r="A20">
            <v>15</v>
          </cell>
          <cell r="B20">
            <v>3.0999999999999999E-3</v>
          </cell>
          <cell r="D20">
            <v>0.85761136383361025</v>
          </cell>
        </row>
        <row r="21">
          <cell r="A21">
            <v>16</v>
          </cell>
          <cell r="B21">
            <v>4.3E-3</v>
          </cell>
          <cell r="D21">
            <v>0.85392363496912571</v>
          </cell>
        </row>
        <row r="22">
          <cell r="A22">
            <v>17</v>
          </cell>
          <cell r="B22">
            <v>3.7000000000000002E-3</v>
          </cell>
          <cell r="D22">
            <v>0.8507641175197399</v>
          </cell>
        </row>
        <row r="23">
          <cell r="A23">
            <v>18</v>
          </cell>
          <cell r="B23">
            <v>1.8E-3</v>
          </cell>
          <cell r="D23">
            <v>0.84923274210820432</v>
          </cell>
        </row>
        <row r="24">
          <cell r="A24">
            <v>19</v>
          </cell>
          <cell r="B24">
            <v>1.4E-3</v>
          </cell>
          <cell r="D24">
            <v>0.84804381626925285</v>
          </cell>
        </row>
        <row r="25">
          <cell r="A25">
            <v>20</v>
          </cell>
          <cell r="B25">
            <v>2E-3</v>
          </cell>
          <cell r="D25">
            <v>0.84634772863671437</v>
          </cell>
        </row>
        <row r="26">
          <cell r="A26">
            <v>21</v>
          </cell>
          <cell r="B26">
            <v>1.1999999999999999E-3</v>
          </cell>
          <cell r="D26">
            <v>0.84533211136235031</v>
          </cell>
        </row>
        <row r="27">
          <cell r="A27">
            <v>22</v>
          </cell>
          <cell r="B27">
            <v>4.0000000000000002E-4</v>
          </cell>
          <cell r="D27">
            <v>0.84499397851780544</v>
          </cell>
        </row>
        <row r="28">
          <cell r="A28">
            <v>23</v>
          </cell>
          <cell r="B28">
            <v>1E-4</v>
          </cell>
          <cell r="D28">
            <v>0.84490947911995362</v>
          </cell>
        </row>
        <row r="29">
          <cell r="A29">
            <v>24</v>
          </cell>
          <cell r="B29">
            <v>2.0000000000000001E-4</v>
          </cell>
          <cell r="D29">
            <v>0.84474049722412969</v>
          </cell>
        </row>
        <row r="30">
          <cell r="A30">
            <v>25</v>
          </cell>
          <cell r="B30">
            <v>0</v>
          </cell>
          <cell r="D30">
            <v>0.84474049722412969</v>
          </cell>
        </row>
        <row r="31">
          <cell r="B31">
            <v>2.9999999999999997E-4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2">
          <cell r="BT12">
            <v>7.9802789513320107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"/>
  <sheetViews>
    <sheetView tabSelected="1" workbookViewId="0"/>
  </sheetViews>
  <sheetFormatPr defaultRowHeight="13.2"/>
  <cols>
    <col min="1" max="16384" width="8.88671875" style="15"/>
  </cols>
  <sheetData>
    <row r="1" spans="1:1">
      <c r="A1" s="15" t="s">
        <v>164</v>
      </c>
    </row>
    <row r="2" spans="1:1">
      <c r="A2" s="15" t="s">
        <v>154</v>
      </c>
    </row>
    <row r="4" spans="1:1">
      <c r="A4" s="15" t="s">
        <v>155</v>
      </c>
    </row>
  </sheetData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X45"/>
  <sheetViews>
    <sheetView workbookViewId="0"/>
  </sheetViews>
  <sheetFormatPr defaultRowHeight="13.2"/>
  <cols>
    <col min="1" max="1" width="33.33203125" style="15" customWidth="1"/>
    <col min="2" max="10" width="8.88671875" style="15"/>
    <col min="11" max="11" width="9.109375" style="51" customWidth="1"/>
    <col min="12" max="71" width="8.88671875" style="15"/>
    <col min="72" max="73" width="10.109375" style="23" customWidth="1"/>
    <col min="74" max="256" width="8.88671875" style="15"/>
    <col min="257" max="257" width="33.33203125" style="15" customWidth="1"/>
    <col min="258" max="266" width="8.88671875" style="15"/>
    <col min="267" max="267" width="9.109375" style="15" customWidth="1"/>
    <col min="268" max="327" width="8.88671875" style="15"/>
    <col min="328" max="329" width="10.109375" style="15" customWidth="1"/>
    <col min="330" max="512" width="8.88671875" style="15"/>
    <col min="513" max="513" width="33.33203125" style="15" customWidth="1"/>
    <col min="514" max="522" width="8.88671875" style="15"/>
    <col min="523" max="523" width="9.109375" style="15" customWidth="1"/>
    <col min="524" max="583" width="8.88671875" style="15"/>
    <col min="584" max="585" width="10.109375" style="15" customWidth="1"/>
    <col min="586" max="768" width="8.88671875" style="15"/>
    <col min="769" max="769" width="33.33203125" style="15" customWidth="1"/>
    <col min="770" max="778" width="8.88671875" style="15"/>
    <col min="779" max="779" width="9.109375" style="15" customWidth="1"/>
    <col min="780" max="839" width="8.88671875" style="15"/>
    <col min="840" max="841" width="10.109375" style="15" customWidth="1"/>
    <col min="842" max="1024" width="8.88671875" style="15"/>
    <col min="1025" max="1025" width="33.33203125" style="15" customWidth="1"/>
    <col min="1026" max="1034" width="8.88671875" style="15"/>
    <col min="1035" max="1035" width="9.109375" style="15" customWidth="1"/>
    <col min="1036" max="1095" width="8.88671875" style="15"/>
    <col min="1096" max="1097" width="10.109375" style="15" customWidth="1"/>
    <col min="1098" max="1280" width="8.88671875" style="15"/>
    <col min="1281" max="1281" width="33.33203125" style="15" customWidth="1"/>
    <col min="1282" max="1290" width="8.88671875" style="15"/>
    <col min="1291" max="1291" width="9.109375" style="15" customWidth="1"/>
    <col min="1292" max="1351" width="8.88671875" style="15"/>
    <col min="1352" max="1353" width="10.109375" style="15" customWidth="1"/>
    <col min="1354" max="1536" width="8.88671875" style="15"/>
    <col min="1537" max="1537" width="33.33203125" style="15" customWidth="1"/>
    <col min="1538" max="1546" width="8.88671875" style="15"/>
    <col min="1547" max="1547" width="9.109375" style="15" customWidth="1"/>
    <col min="1548" max="1607" width="8.88671875" style="15"/>
    <col min="1608" max="1609" width="10.109375" style="15" customWidth="1"/>
    <col min="1610" max="1792" width="8.88671875" style="15"/>
    <col min="1793" max="1793" width="33.33203125" style="15" customWidth="1"/>
    <col min="1794" max="1802" width="8.88671875" style="15"/>
    <col min="1803" max="1803" width="9.109375" style="15" customWidth="1"/>
    <col min="1804" max="1863" width="8.88671875" style="15"/>
    <col min="1864" max="1865" width="10.109375" style="15" customWidth="1"/>
    <col min="1866" max="2048" width="8.88671875" style="15"/>
    <col min="2049" max="2049" width="33.33203125" style="15" customWidth="1"/>
    <col min="2050" max="2058" width="8.88671875" style="15"/>
    <col min="2059" max="2059" width="9.109375" style="15" customWidth="1"/>
    <col min="2060" max="2119" width="8.88671875" style="15"/>
    <col min="2120" max="2121" width="10.109375" style="15" customWidth="1"/>
    <col min="2122" max="2304" width="8.88671875" style="15"/>
    <col min="2305" max="2305" width="33.33203125" style="15" customWidth="1"/>
    <col min="2306" max="2314" width="8.88671875" style="15"/>
    <col min="2315" max="2315" width="9.109375" style="15" customWidth="1"/>
    <col min="2316" max="2375" width="8.88671875" style="15"/>
    <col min="2376" max="2377" width="10.109375" style="15" customWidth="1"/>
    <col min="2378" max="2560" width="8.88671875" style="15"/>
    <col min="2561" max="2561" width="33.33203125" style="15" customWidth="1"/>
    <col min="2562" max="2570" width="8.88671875" style="15"/>
    <col min="2571" max="2571" width="9.109375" style="15" customWidth="1"/>
    <col min="2572" max="2631" width="8.88671875" style="15"/>
    <col min="2632" max="2633" width="10.109375" style="15" customWidth="1"/>
    <col min="2634" max="2816" width="8.88671875" style="15"/>
    <col min="2817" max="2817" width="33.33203125" style="15" customWidth="1"/>
    <col min="2818" max="2826" width="8.88671875" style="15"/>
    <col min="2827" max="2827" width="9.109375" style="15" customWidth="1"/>
    <col min="2828" max="2887" width="8.88671875" style="15"/>
    <col min="2888" max="2889" width="10.109375" style="15" customWidth="1"/>
    <col min="2890" max="3072" width="8.88671875" style="15"/>
    <col min="3073" max="3073" width="33.33203125" style="15" customWidth="1"/>
    <col min="3074" max="3082" width="8.88671875" style="15"/>
    <col min="3083" max="3083" width="9.109375" style="15" customWidth="1"/>
    <col min="3084" max="3143" width="8.88671875" style="15"/>
    <col min="3144" max="3145" width="10.109375" style="15" customWidth="1"/>
    <col min="3146" max="3328" width="8.88671875" style="15"/>
    <col min="3329" max="3329" width="33.33203125" style="15" customWidth="1"/>
    <col min="3330" max="3338" width="8.88671875" style="15"/>
    <col min="3339" max="3339" width="9.109375" style="15" customWidth="1"/>
    <col min="3340" max="3399" width="8.88671875" style="15"/>
    <col min="3400" max="3401" width="10.109375" style="15" customWidth="1"/>
    <col min="3402" max="3584" width="8.88671875" style="15"/>
    <col min="3585" max="3585" width="33.33203125" style="15" customWidth="1"/>
    <col min="3586" max="3594" width="8.88671875" style="15"/>
    <col min="3595" max="3595" width="9.109375" style="15" customWidth="1"/>
    <col min="3596" max="3655" width="8.88671875" style="15"/>
    <col min="3656" max="3657" width="10.109375" style="15" customWidth="1"/>
    <col min="3658" max="3840" width="8.88671875" style="15"/>
    <col min="3841" max="3841" width="33.33203125" style="15" customWidth="1"/>
    <col min="3842" max="3850" width="8.88671875" style="15"/>
    <col min="3851" max="3851" width="9.109375" style="15" customWidth="1"/>
    <col min="3852" max="3911" width="8.88671875" style="15"/>
    <col min="3912" max="3913" width="10.109375" style="15" customWidth="1"/>
    <col min="3914" max="4096" width="8.88671875" style="15"/>
    <col min="4097" max="4097" width="33.33203125" style="15" customWidth="1"/>
    <col min="4098" max="4106" width="8.88671875" style="15"/>
    <col min="4107" max="4107" width="9.109375" style="15" customWidth="1"/>
    <col min="4108" max="4167" width="8.88671875" style="15"/>
    <col min="4168" max="4169" width="10.109375" style="15" customWidth="1"/>
    <col min="4170" max="4352" width="8.88671875" style="15"/>
    <col min="4353" max="4353" width="33.33203125" style="15" customWidth="1"/>
    <col min="4354" max="4362" width="8.88671875" style="15"/>
    <col min="4363" max="4363" width="9.109375" style="15" customWidth="1"/>
    <col min="4364" max="4423" width="8.88671875" style="15"/>
    <col min="4424" max="4425" width="10.109375" style="15" customWidth="1"/>
    <col min="4426" max="4608" width="8.88671875" style="15"/>
    <col min="4609" max="4609" width="33.33203125" style="15" customWidth="1"/>
    <col min="4610" max="4618" width="8.88671875" style="15"/>
    <col min="4619" max="4619" width="9.109375" style="15" customWidth="1"/>
    <col min="4620" max="4679" width="8.88671875" style="15"/>
    <col min="4680" max="4681" width="10.109375" style="15" customWidth="1"/>
    <col min="4682" max="4864" width="8.88671875" style="15"/>
    <col min="4865" max="4865" width="33.33203125" style="15" customWidth="1"/>
    <col min="4866" max="4874" width="8.88671875" style="15"/>
    <col min="4875" max="4875" width="9.109375" style="15" customWidth="1"/>
    <col min="4876" max="4935" width="8.88671875" style="15"/>
    <col min="4936" max="4937" width="10.109375" style="15" customWidth="1"/>
    <col min="4938" max="5120" width="8.88671875" style="15"/>
    <col min="5121" max="5121" width="33.33203125" style="15" customWidth="1"/>
    <col min="5122" max="5130" width="8.88671875" style="15"/>
    <col min="5131" max="5131" width="9.109375" style="15" customWidth="1"/>
    <col min="5132" max="5191" width="8.88671875" style="15"/>
    <col min="5192" max="5193" width="10.109375" style="15" customWidth="1"/>
    <col min="5194" max="5376" width="8.88671875" style="15"/>
    <col min="5377" max="5377" width="33.33203125" style="15" customWidth="1"/>
    <col min="5378" max="5386" width="8.88671875" style="15"/>
    <col min="5387" max="5387" width="9.109375" style="15" customWidth="1"/>
    <col min="5388" max="5447" width="8.88671875" style="15"/>
    <col min="5448" max="5449" width="10.109375" style="15" customWidth="1"/>
    <col min="5450" max="5632" width="8.88671875" style="15"/>
    <col min="5633" max="5633" width="33.33203125" style="15" customWidth="1"/>
    <col min="5634" max="5642" width="8.88671875" style="15"/>
    <col min="5643" max="5643" width="9.109375" style="15" customWidth="1"/>
    <col min="5644" max="5703" width="8.88671875" style="15"/>
    <col min="5704" max="5705" width="10.109375" style="15" customWidth="1"/>
    <col min="5706" max="5888" width="8.88671875" style="15"/>
    <col min="5889" max="5889" width="33.33203125" style="15" customWidth="1"/>
    <col min="5890" max="5898" width="8.88671875" style="15"/>
    <col min="5899" max="5899" width="9.109375" style="15" customWidth="1"/>
    <col min="5900" max="5959" width="8.88671875" style="15"/>
    <col min="5960" max="5961" width="10.109375" style="15" customWidth="1"/>
    <col min="5962" max="6144" width="8.88671875" style="15"/>
    <col min="6145" max="6145" width="33.33203125" style="15" customWidth="1"/>
    <col min="6146" max="6154" width="8.88671875" style="15"/>
    <col min="6155" max="6155" width="9.109375" style="15" customWidth="1"/>
    <col min="6156" max="6215" width="8.88671875" style="15"/>
    <col min="6216" max="6217" width="10.109375" style="15" customWidth="1"/>
    <col min="6218" max="6400" width="8.88671875" style="15"/>
    <col min="6401" max="6401" width="33.33203125" style="15" customWidth="1"/>
    <col min="6402" max="6410" width="8.88671875" style="15"/>
    <col min="6411" max="6411" width="9.109375" style="15" customWidth="1"/>
    <col min="6412" max="6471" width="8.88671875" style="15"/>
    <col min="6472" max="6473" width="10.109375" style="15" customWidth="1"/>
    <col min="6474" max="6656" width="8.88671875" style="15"/>
    <col min="6657" max="6657" width="33.33203125" style="15" customWidth="1"/>
    <col min="6658" max="6666" width="8.88671875" style="15"/>
    <col min="6667" max="6667" width="9.109375" style="15" customWidth="1"/>
    <col min="6668" max="6727" width="8.88671875" style="15"/>
    <col min="6728" max="6729" width="10.109375" style="15" customWidth="1"/>
    <col min="6730" max="6912" width="8.88671875" style="15"/>
    <col min="6913" max="6913" width="33.33203125" style="15" customWidth="1"/>
    <col min="6914" max="6922" width="8.88671875" style="15"/>
    <col min="6923" max="6923" width="9.109375" style="15" customWidth="1"/>
    <col min="6924" max="6983" width="8.88671875" style="15"/>
    <col min="6984" max="6985" width="10.109375" style="15" customWidth="1"/>
    <col min="6986" max="7168" width="8.88671875" style="15"/>
    <col min="7169" max="7169" width="33.33203125" style="15" customWidth="1"/>
    <col min="7170" max="7178" width="8.88671875" style="15"/>
    <col min="7179" max="7179" width="9.109375" style="15" customWidth="1"/>
    <col min="7180" max="7239" width="8.88671875" style="15"/>
    <col min="7240" max="7241" width="10.109375" style="15" customWidth="1"/>
    <col min="7242" max="7424" width="8.88671875" style="15"/>
    <col min="7425" max="7425" width="33.33203125" style="15" customWidth="1"/>
    <col min="7426" max="7434" width="8.88671875" style="15"/>
    <col min="7435" max="7435" width="9.109375" style="15" customWidth="1"/>
    <col min="7436" max="7495" width="8.88671875" style="15"/>
    <col min="7496" max="7497" width="10.109375" style="15" customWidth="1"/>
    <col min="7498" max="7680" width="8.88671875" style="15"/>
    <col min="7681" max="7681" width="33.33203125" style="15" customWidth="1"/>
    <col min="7682" max="7690" width="8.88671875" style="15"/>
    <col min="7691" max="7691" width="9.109375" style="15" customWidth="1"/>
    <col min="7692" max="7751" width="8.88671875" style="15"/>
    <col min="7752" max="7753" width="10.109375" style="15" customWidth="1"/>
    <col min="7754" max="7936" width="8.88671875" style="15"/>
    <col min="7937" max="7937" width="33.33203125" style="15" customWidth="1"/>
    <col min="7938" max="7946" width="8.88671875" style="15"/>
    <col min="7947" max="7947" width="9.109375" style="15" customWidth="1"/>
    <col min="7948" max="8007" width="8.88671875" style="15"/>
    <col min="8008" max="8009" width="10.109375" style="15" customWidth="1"/>
    <col min="8010" max="8192" width="8.88671875" style="15"/>
    <col min="8193" max="8193" width="33.33203125" style="15" customWidth="1"/>
    <col min="8194" max="8202" width="8.88671875" style="15"/>
    <col min="8203" max="8203" width="9.109375" style="15" customWidth="1"/>
    <col min="8204" max="8263" width="8.88671875" style="15"/>
    <col min="8264" max="8265" width="10.109375" style="15" customWidth="1"/>
    <col min="8266" max="8448" width="8.88671875" style="15"/>
    <col min="8449" max="8449" width="33.33203125" style="15" customWidth="1"/>
    <col min="8450" max="8458" width="8.88671875" style="15"/>
    <col min="8459" max="8459" width="9.109375" style="15" customWidth="1"/>
    <col min="8460" max="8519" width="8.88671875" style="15"/>
    <col min="8520" max="8521" width="10.109375" style="15" customWidth="1"/>
    <col min="8522" max="8704" width="8.88671875" style="15"/>
    <col min="8705" max="8705" width="33.33203125" style="15" customWidth="1"/>
    <col min="8706" max="8714" width="8.88671875" style="15"/>
    <col min="8715" max="8715" width="9.109375" style="15" customWidth="1"/>
    <col min="8716" max="8775" width="8.88671875" style="15"/>
    <col min="8776" max="8777" width="10.109375" style="15" customWidth="1"/>
    <col min="8778" max="8960" width="8.88671875" style="15"/>
    <col min="8961" max="8961" width="33.33203125" style="15" customWidth="1"/>
    <col min="8962" max="8970" width="8.88671875" style="15"/>
    <col min="8971" max="8971" width="9.109375" style="15" customWidth="1"/>
    <col min="8972" max="9031" width="8.88671875" style="15"/>
    <col min="9032" max="9033" width="10.109375" style="15" customWidth="1"/>
    <col min="9034" max="9216" width="8.88671875" style="15"/>
    <col min="9217" max="9217" width="33.33203125" style="15" customWidth="1"/>
    <col min="9218" max="9226" width="8.88671875" style="15"/>
    <col min="9227" max="9227" width="9.109375" style="15" customWidth="1"/>
    <col min="9228" max="9287" width="8.88671875" style="15"/>
    <col min="9288" max="9289" width="10.109375" style="15" customWidth="1"/>
    <col min="9290" max="9472" width="8.88671875" style="15"/>
    <col min="9473" max="9473" width="33.33203125" style="15" customWidth="1"/>
    <col min="9474" max="9482" width="8.88671875" style="15"/>
    <col min="9483" max="9483" width="9.109375" style="15" customWidth="1"/>
    <col min="9484" max="9543" width="8.88671875" style="15"/>
    <col min="9544" max="9545" width="10.109375" style="15" customWidth="1"/>
    <col min="9546" max="9728" width="8.88671875" style="15"/>
    <col min="9729" max="9729" width="33.33203125" style="15" customWidth="1"/>
    <col min="9730" max="9738" width="8.88671875" style="15"/>
    <col min="9739" max="9739" width="9.109375" style="15" customWidth="1"/>
    <col min="9740" max="9799" width="8.88671875" style="15"/>
    <col min="9800" max="9801" width="10.109375" style="15" customWidth="1"/>
    <col min="9802" max="9984" width="8.88671875" style="15"/>
    <col min="9985" max="9985" width="33.33203125" style="15" customWidth="1"/>
    <col min="9986" max="9994" width="8.88671875" style="15"/>
    <col min="9995" max="9995" width="9.109375" style="15" customWidth="1"/>
    <col min="9996" max="10055" width="8.88671875" style="15"/>
    <col min="10056" max="10057" width="10.109375" style="15" customWidth="1"/>
    <col min="10058" max="10240" width="8.88671875" style="15"/>
    <col min="10241" max="10241" width="33.33203125" style="15" customWidth="1"/>
    <col min="10242" max="10250" width="8.88671875" style="15"/>
    <col min="10251" max="10251" width="9.109375" style="15" customWidth="1"/>
    <col min="10252" max="10311" width="8.88671875" style="15"/>
    <col min="10312" max="10313" width="10.109375" style="15" customWidth="1"/>
    <col min="10314" max="10496" width="8.88671875" style="15"/>
    <col min="10497" max="10497" width="33.33203125" style="15" customWidth="1"/>
    <col min="10498" max="10506" width="8.88671875" style="15"/>
    <col min="10507" max="10507" width="9.109375" style="15" customWidth="1"/>
    <col min="10508" max="10567" width="8.88671875" style="15"/>
    <col min="10568" max="10569" width="10.109375" style="15" customWidth="1"/>
    <col min="10570" max="10752" width="8.88671875" style="15"/>
    <col min="10753" max="10753" width="33.33203125" style="15" customWidth="1"/>
    <col min="10754" max="10762" width="8.88671875" style="15"/>
    <col min="10763" max="10763" width="9.109375" style="15" customWidth="1"/>
    <col min="10764" max="10823" width="8.88671875" style="15"/>
    <col min="10824" max="10825" width="10.109375" style="15" customWidth="1"/>
    <col min="10826" max="11008" width="8.88671875" style="15"/>
    <col min="11009" max="11009" width="33.33203125" style="15" customWidth="1"/>
    <col min="11010" max="11018" width="8.88671875" style="15"/>
    <col min="11019" max="11019" width="9.109375" style="15" customWidth="1"/>
    <col min="11020" max="11079" width="8.88671875" style="15"/>
    <col min="11080" max="11081" width="10.109375" style="15" customWidth="1"/>
    <col min="11082" max="11264" width="8.88671875" style="15"/>
    <col min="11265" max="11265" width="33.33203125" style="15" customWidth="1"/>
    <col min="11266" max="11274" width="8.88671875" style="15"/>
    <col min="11275" max="11275" width="9.109375" style="15" customWidth="1"/>
    <col min="11276" max="11335" width="8.88671875" style="15"/>
    <col min="11336" max="11337" width="10.109375" style="15" customWidth="1"/>
    <col min="11338" max="11520" width="8.88671875" style="15"/>
    <col min="11521" max="11521" width="33.33203125" style="15" customWidth="1"/>
    <col min="11522" max="11530" width="8.88671875" style="15"/>
    <col min="11531" max="11531" width="9.109375" style="15" customWidth="1"/>
    <col min="11532" max="11591" width="8.88671875" style="15"/>
    <col min="11592" max="11593" width="10.109375" style="15" customWidth="1"/>
    <col min="11594" max="11776" width="8.88671875" style="15"/>
    <col min="11777" max="11777" width="33.33203125" style="15" customWidth="1"/>
    <col min="11778" max="11786" width="8.88671875" style="15"/>
    <col min="11787" max="11787" width="9.109375" style="15" customWidth="1"/>
    <col min="11788" max="11847" width="8.88671875" style="15"/>
    <col min="11848" max="11849" width="10.109375" style="15" customWidth="1"/>
    <col min="11850" max="12032" width="8.88671875" style="15"/>
    <col min="12033" max="12033" width="33.33203125" style="15" customWidth="1"/>
    <col min="12034" max="12042" width="8.88671875" style="15"/>
    <col min="12043" max="12043" width="9.109375" style="15" customWidth="1"/>
    <col min="12044" max="12103" width="8.88671875" style="15"/>
    <col min="12104" max="12105" width="10.109375" style="15" customWidth="1"/>
    <col min="12106" max="12288" width="8.88671875" style="15"/>
    <col min="12289" max="12289" width="33.33203125" style="15" customWidth="1"/>
    <col min="12290" max="12298" width="8.88671875" style="15"/>
    <col min="12299" max="12299" width="9.109375" style="15" customWidth="1"/>
    <col min="12300" max="12359" width="8.88671875" style="15"/>
    <col min="12360" max="12361" width="10.109375" style="15" customWidth="1"/>
    <col min="12362" max="12544" width="8.88671875" style="15"/>
    <col min="12545" max="12545" width="33.33203125" style="15" customWidth="1"/>
    <col min="12546" max="12554" width="8.88671875" style="15"/>
    <col min="12555" max="12555" width="9.109375" style="15" customWidth="1"/>
    <col min="12556" max="12615" width="8.88671875" style="15"/>
    <col min="12616" max="12617" width="10.109375" style="15" customWidth="1"/>
    <col min="12618" max="12800" width="8.88671875" style="15"/>
    <col min="12801" max="12801" width="33.33203125" style="15" customWidth="1"/>
    <col min="12802" max="12810" width="8.88671875" style="15"/>
    <col min="12811" max="12811" width="9.109375" style="15" customWidth="1"/>
    <col min="12812" max="12871" width="8.88671875" style="15"/>
    <col min="12872" max="12873" width="10.109375" style="15" customWidth="1"/>
    <col min="12874" max="13056" width="8.88671875" style="15"/>
    <col min="13057" max="13057" width="33.33203125" style="15" customWidth="1"/>
    <col min="13058" max="13066" width="8.88671875" style="15"/>
    <col min="13067" max="13067" width="9.109375" style="15" customWidth="1"/>
    <col min="13068" max="13127" width="8.88671875" style="15"/>
    <col min="13128" max="13129" width="10.109375" style="15" customWidth="1"/>
    <col min="13130" max="13312" width="8.88671875" style="15"/>
    <col min="13313" max="13313" width="33.33203125" style="15" customWidth="1"/>
    <col min="13314" max="13322" width="8.88671875" style="15"/>
    <col min="13323" max="13323" width="9.109375" style="15" customWidth="1"/>
    <col min="13324" max="13383" width="8.88671875" style="15"/>
    <col min="13384" max="13385" width="10.109375" style="15" customWidth="1"/>
    <col min="13386" max="13568" width="8.88671875" style="15"/>
    <col min="13569" max="13569" width="33.33203125" style="15" customWidth="1"/>
    <col min="13570" max="13578" width="8.88671875" style="15"/>
    <col min="13579" max="13579" width="9.109375" style="15" customWidth="1"/>
    <col min="13580" max="13639" width="8.88671875" style="15"/>
    <col min="13640" max="13641" width="10.109375" style="15" customWidth="1"/>
    <col min="13642" max="13824" width="8.88671875" style="15"/>
    <col min="13825" max="13825" width="33.33203125" style="15" customWidth="1"/>
    <col min="13826" max="13834" width="8.88671875" style="15"/>
    <col min="13835" max="13835" width="9.109375" style="15" customWidth="1"/>
    <col min="13836" max="13895" width="8.88671875" style="15"/>
    <col min="13896" max="13897" width="10.109375" style="15" customWidth="1"/>
    <col min="13898" max="14080" width="8.88671875" style="15"/>
    <col min="14081" max="14081" width="33.33203125" style="15" customWidth="1"/>
    <col min="14082" max="14090" width="8.88671875" style="15"/>
    <col min="14091" max="14091" width="9.109375" style="15" customWidth="1"/>
    <col min="14092" max="14151" width="8.88671875" style="15"/>
    <col min="14152" max="14153" width="10.109375" style="15" customWidth="1"/>
    <col min="14154" max="14336" width="8.88671875" style="15"/>
    <col min="14337" max="14337" width="33.33203125" style="15" customWidth="1"/>
    <col min="14338" max="14346" width="8.88671875" style="15"/>
    <col min="14347" max="14347" width="9.109375" style="15" customWidth="1"/>
    <col min="14348" max="14407" width="8.88671875" style="15"/>
    <col min="14408" max="14409" width="10.109375" style="15" customWidth="1"/>
    <col min="14410" max="14592" width="8.88671875" style="15"/>
    <col min="14593" max="14593" width="33.33203125" style="15" customWidth="1"/>
    <col min="14594" max="14602" width="8.88671875" style="15"/>
    <col min="14603" max="14603" width="9.109375" style="15" customWidth="1"/>
    <col min="14604" max="14663" width="8.88671875" style="15"/>
    <col min="14664" max="14665" width="10.109375" style="15" customWidth="1"/>
    <col min="14666" max="14848" width="8.88671875" style="15"/>
    <col min="14849" max="14849" width="33.33203125" style="15" customWidth="1"/>
    <col min="14850" max="14858" width="8.88671875" style="15"/>
    <col min="14859" max="14859" width="9.109375" style="15" customWidth="1"/>
    <col min="14860" max="14919" width="8.88671875" style="15"/>
    <col min="14920" max="14921" width="10.109375" style="15" customWidth="1"/>
    <col min="14922" max="15104" width="8.88671875" style="15"/>
    <col min="15105" max="15105" width="33.33203125" style="15" customWidth="1"/>
    <col min="15106" max="15114" width="8.88671875" style="15"/>
    <col min="15115" max="15115" width="9.109375" style="15" customWidth="1"/>
    <col min="15116" max="15175" width="8.88671875" style="15"/>
    <col min="15176" max="15177" width="10.109375" style="15" customWidth="1"/>
    <col min="15178" max="15360" width="8.88671875" style="15"/>
    <col min="15361" max="15361" width="33.33203125" style="15" customWidth="1"/>
    <col min="15362" max="15370" width="8.88671875" style="15"/>
    <col min="15371" max="15371" width="9.109375" style="15" customWidth="1"/>
    <col min="15372" max="15431" width="8.88671875" style="15"/>
    <col min="15432" max="15433" width="10.109375" style="15" customWidth="1"/>
    <col min="15434" max="15616" width="8.88671875" style="15"/>
    <col min="15617" max="15617" width="33.33203125" style="15" customWidth="1"/>
    <col min="15618" max="15626" width="8.88671875" style="15"/>
    <col min="15627" max="15627" width="9.109375" style="15" customWidth="1"/>
    <col min="15628" max="15687" width="8.88671875" style="15"/>
    <col min="15688" max="15689" width="10.109375" style="15" customWidth="1"/>
    <col min="15690" max="15872" width="8.88671875" style="15"/>
    <col min="15873" max="15873" width="33.33203125" style="15" customWidth="1"/>
    <col min="15874" max="15882" width="8.88671875" style="15"/>
    <col min="15883" max="15883" width="9.109375" style="15" customWidth="1"/>
    <col min="15884" max="15943" width="8.88671875" style="15"/>
    <col min="15944" max="15945" width="10.109375" style="15" customWidth="1"/>
    <col min="15946" max="16128" width="8.88671875" style="15"/>
    <col min="16129" max="16129" width="33.33203125" style="15" customWidth="1"/>
    <col min="16130" max="16138" width="8.88671875" style="15"/>
    <col min="16139" max="16139" width="9.109375" style="15" customWidth="1"/>
    <col min="16140" max="16199" width="8.88671875" style="15"/>
    <col min="16200" max="16201" width="10.109375" style="15" customWidth="1"/>
    <col min="16202" max="16384" width="8.88671875" style="15"/>
  </cols>
  <sheetData>
    <row r="1" spans="1:76">
      <c r="A1" s="14" t="s">
        <v>91</v>
      </c>
    </row>
    <row r="2" spans="1:76">
      <c r="B2" s="27" t="s">
        <v>92</v>
      </c>
      <c r="C2" s="27" t="s">
        <v>93</v>
      </c>
    </row>
    <row r="3" spans="1:76">
      <c r="A3" s="15" t="s">
        <v>94</v>
      </c>
      <c r="B3" s="17">
        <f>IRR(H11:H41,0.1)</f>
        <v>8.4895430588161402E-2</v>
      </c>
      <c r="C3" s="53">
        <f>BX11</f>
        <v>6.6921402619782118</v>
      </c>
      <c r="F3" s="74"/>
    </row>
    <row r="4" spans="1:76">
      <c r="A4" s="15" t="s">
        <v>95</v>
      </c>
      <c r="B4" s="17">
        <f>IRR(BT10:BT41,0.1)</f>
        <v>7.3948631536492324E-2</v>
      </c>
      <c r="C4" s="53">
        <f>BW11</f>
        <v>6.5944945859891764</v>
      </c>
      <c r="AP4" s="46" t="s">
        <v>32</v>
      </c>
      <c r="BT4" s="75" t="s">
        <v>29</v>
      </c>
      <c r="BW4" s="15" t="s">
        <v>96</v>
      </c>
    </row>
    <row r="5" spans="1:76">
      <c r="A5" s="14" t="s">
        <v>97</v>
      </c>
      <c r="B5" s="20">
        <f>B3-B4</f>
        <v>1.0946799051669079E-2</v>
      </c>
      <c r="C5" s="26" t="s">
        <v>27</v>
      </c>
      <c r="F5" s="53"/>
      <c r="AP5" s="46"/>
      <c r="BT5" s="73" t="s">
        <v>90</v>
      </c>
      <c r="BU5" s="23" t="s">
        <v>98</v>
      </c>
    </row>
    <row r="6" spans="1:76">
      <c r="A6" s="15" t="s">
        <v>99</v>
      </c>
      <c r="B6" s="17">
        <f>B3-SUM(L45:AO45)</f>
        <v>7.3022258547517926E-2</v>
      </c>
      <c r="C6" s="26"/>
      <c r="F6" s="53"/>
      <c r="AP6" s="46"/>
      <c r="BT6" s="75"/>
    </row>
    <row r="7" spans="1:76">
      <c r="A7" s="14" t="s">
        <v>97</v>
      </c>
      <c r="B7" s="20">
        <f>B3-B6</f>
        <v>1.1873172040643476E-2</v>
      </c>
      <c r="C7" s="26" t="s">
        <v>100</v>
      </c>
      <c r="F7" s="53"/>
      <c r="AP7" s="46"/>
      <c r="BT7" s="75"/>
    </row>
    <row r="8" spans="1:76">
      <c r="A8" s="15" t="s">
        <v>44</v>
      </c>
      <c r="B8" s="74">
        <f>SUM(E12:E41)</f>
        <v>0.15551292492503763</v>
      </c>
      <c r="C8" s="53"/>
      <c r="F8" s="53"/>
      <c r="L8" s="15">
        <f>'ContractCFsExhs1-2'!D7</f>
        <v>10</v>
      </c>
      <c r="M8" s="15">
        <f t="shared" ref="M8:AO8" si="0">L8</f>
        <v>10</v>
      </c>
      <c r="N8" s="15">
        <f t="shared" si="0"/>
        <v>10</v>
      </c>
      <c r="O8" s="15">
        <f t="shared" si="0"/>
        <v>10</v>
      </c>
      <c r="P8" s="15">
        <f t="shared" si="0"/>
        <v>10</v>
      </c>
      <c r="Q8" s="15">
        <f t="shared" si="0"/>
        <v>10</v>
      </c>
      <c r="R8" s="15">
        <f t="shared" si="0"/>
        <v>10</v>
      </c>
      <c r="S8" s="15">
        <f t="shared" si="0"/>
        <v>10</v>
      </c>
      <c r="T8" s="15">
        <f t="shared" si="0"/>
        <v>10</v>
      </c>
      <c r="U8" s="15">
        <f t="shared" si="0"/>
        <v>10</v>
      </c>
      <c r="V8" s="15">
        <f t="shared" si="0"/>
        <v>10</v>
      </c>
      <c r="W8" s="15">
        <f t="shared" si="0"/>
        <v>10</v>
      </c>
      <c r="X8" s="15">
        <f t="shared" si="0"/>
        <v>10</v>
      </c>
      <c r="Y8" s="15">
        <f t="shared" si="0"/>
        <v>10</v>
      </c>
      <c r="Z8" s="15">
        <f t="shared" si="0"/>
        <v>10</v>
      </c>
      <c r="AA8" s="15">
        <f t="shared" si="0"/>
        <v>10</v>
      </c>
      <c r="AB8" s="15">
        <f t="shared" si="0"/>
        <v>10</v>
      </c>
      <c r="AC8" s="15">
        <f t="shared" si="0"/>
        <v>10</v>
      </c>
      <c r="AD8" s="15">
        <f t="shared" si="0"/>
        <v>10</v>
      </c>
      <c r="AE8" s="15">
        <f t="shared" si="0"/>
        <v>10</v>
      </c>
      <c r="AF8" s="15">
        <f t="shared" si="0"/>
        <v>10</v>
      </c>
      <c r="AG8" s="15">
        <f t="shared" si="0"/>
        <v>10</v>
      </c>
      <c r="AH8" s="15">
        <f t="shared" si="0"/>
        <v>10</v>
      </c>
      <c r="AI8" s="15">
        <f t="shared" si="0"/>
        <v>10</v>
      </c>
      <c r="AJ8" s="15">
        <f t="shared" si="0"/>
        <v>10</v>
      </c>
      <c r="AK8" s="15">
        <f t="shared" si="0"/>
        <v>10</v>
      </c>
      <c r="AL8" s="15">
        <f t="shared" si="0"/>
        <v>10</v>
      </c>
      <c r="AM8" s="15">
        <f t="shared" si="0"/>
        <v>10</v>
      </c>
      <c r="AN8" s="15">
        <f t="shared" si="0"/>
        <v>10</v>
      </c>
      <c r="AO8" s="15">
        <f t="shared" si="0"/>
        <v>10</v>
      </c>
      <c r="AP8" s="46"/>
      <c r="BT8" s="75"/>
    </row>
    <row r="9" spans="1:76">
      <c r="A9" s="15" t="s">
        <v>101</v>
      </c>
      <c r="B9" s="53">
        <f>SUM(F12:F41)</f>
        <v>7.4654763772614068</v>
      </c>
      <c r="C9" s="53"/>
      <c r="F9" s="53"/>
      <c r="G9" s="15" t="s">
        <v>102</v>
      </c>
      <c r="L9" s="15" t="s">
        <v>31</v>
      </c>
      <c r="AP9" s="46"/>
      <c r="BT9" s="75"/>
    </row>
    <row r="10" spans="1:76">
      <c r="C10" s="27" t="s">
        <v>35</v>
      </c>
      <c r="D10" s="27" t="s">
        <v>36</v>
      </c>
      <c r="E10" s="27" t="s">
        <v>37</v>
      </c>
      <c r="F10" s="27" t="s">
        <v>103</v>
      </c>
      <c r="G10" s="27" t="s">
        <v>37</v>
      </c>
      <c r="H10" s="27" t="s">
        <v>104</v>
      </c>
      <c r="I10" s="27" t="s">
        <v>42</v>
      </c>
      <c r="J10" s="15" t="s">
        <v>105</v>
      </c>
      <c r="K10" s="76" t="s">
        <v>106</v>
      </c>
      <c r="L10" s="15">
        <v>1</v>
      </c>
      <c r="M10" s="15">
        <v>2</v>
      </c>
      <c r="N10" s="15">
        <v>3</v>
      </c>
      <c r="O10" s="15">
        <v>4</v>
      </c>
      <c r="P10" s="15">
        <v>5</v>
      </c>
      <c r="Q10" s="15">
        <v>6</v>
      </c>
      <c r="R10" s="15">
        <v>7</v>
      </c>
      <c r="S10" s="15">
        <v>8</v>
      </c>
      <c r="T10" s="15">
        <v>9</v>
      </c>
      <c r="U10" s="15">
        <v>10</v>
      </c>
      <c r="V10" s="15">
        <v>11</v>
      </c>
      <c r="W10" s="15">
        <v>12</v>
      </c>
      <c r="X10" s="15">
        <v>13</v>
      </c>
      <c r="Y10" s="15">
        <v>14</v>
      </c>
      <c r="Z10" s="15">
        <v>15</v>
      </c>
      <c r="AA10" s="15">
        <v>16</v>
      </c>
      <c r="AB10" s="15">
        <v>17</v>
      </c>
      <c r="AC10" s="15">
        <v>18</v>
      </c>
      <c r="AD10" s="15">
        <v>19</v>
      </c>
      <c r="AE10" s="15">
        <v>20</v>
      </c>
      <c r="AF10" s="15">
        <v>21</v>
      </c>
      <c r="AG10" s="15">
        <v>22</v>
      </c>
      <c r="AH10" s="15">
        <v>23</v>
      </c>
      <c r="AI10" s="15">
        <v>24</v>
      </c>
      <c r="AJ10" s="15">
        <v>25</v>
      </c>
      <c r="AK10" s="15">
        <v>26</v>
      </c>
      <c r="AL10" s="15">
        <v>27</v>
      </c>
      <c r="AM10" s="15">
        <v>28</v>
      </c>
      <c r="AN10" s="15">
        <v>29</v>
      </c>
      <c r="AO10" s="15">
        <v>30</v>
      </c>
      <c r="AP10" s="46">
        <f t="shared" ref="AP10:BS10" si="1">L10</f>
        <v>1</v>
      </c>
      <c r="AQ10" s="15">
        <f t="shared" si="1"/>
        <v>2</v>
      </c>
      <c r="AR10" s="15">
        <f t="shared" si="1"/>
        <v>3</v>
      </c>
      <c r="AS10" s="15">
        <f t="shared" si="1"/>
        <v>4</v>
      </c>
      <c r="AT10" s="15">
        <f t="shared" si="1"/>
        <v>5</v>
      </c>
      <c r="AU10" s="15">
        <f t="shared" si="1"/>
        <v>6</v>
      </c>
      <c r="AV10" s="15">
        <f t="shared" si="1"/>
        <v>7</v>
      </c>
      <c r="AW10" s="15">
        <f t="shared" si="1"/>
        <v>8</v>
      </c>
      <c r="AX10" s="15">
        <f t="shared" si="1"/>
        <v>9</v>
      </c>
      <c r="AY10" s="15">
        <f t="shared" si="1"/>
        <v>10</v>
      </c>
      <c r="AZ10" s="15">
        <f t="shared" si="1"/>
        <v>11</v>
      </c>
      <c r="BA10" s="15">
        <f t="shared" si="1"/>
        <v>12</v>
      </c>
      <c r="BB10" s="15">
        <f t="shared" si="1"/>
        <v>13</v>
      </c>
      <c r="BC10" s="15">
        <f t="shared" si="1"/>
        <v>14</v>
      </c>
      <c r="BD10" s="15">
        <f t="shared" si="1"/>
        <v>15</v>
      </c>
      <c r="BE10" s="15">
        <f t="shared" si="1"/>
        <v>16</v>
      </c>
      <c r="BF10" s="15">
        <f t="shared" si="1"/>
        <v>17</v>
      </c>
      <c r="BG10" s="15">
        <f t="shared" si="1"/>
        <v>18</v>
      </c>
      <c r="BH10" s="15">
        <f t="shared" si="1"/>
        <v>19</v>
      </c>
      <c r="BI10" s="15">
        <f t="shared" si="1"/>
        <v>20</v>
      </c>
      <c r="BJ10" s="15">
        <f t="shared" si="1"/>
        <v>21</v>
      </c>
      <c r="BK10" s="15">
        <f t="shared" si="1"/>
        <v>22</v>
      </c>
      <c r="BL10" s="15">
        <f t="shared" si="1"/>
        <v>23</v>
      </c>
      <c r="BM10" s="15">
        <f t="shared" si="1"/>
        <v>24</v>
      </c>
      <c r="BN10" s="15">
        <f t="shared" si="1"/>
        <v>25</v>
      </c>
      <c r="BO10" s="15">
        <f t="shared" si="1"/>
        <v>26</v>
      </c>
      <c r="BP10" s="15">
        <f t="shared" si="1"/>
        <v>27</v>
      </c>
      <c r="BQ10" s="15">
        <f t="shared" si="1"/>
        <v>28</v>
      </c>
      <c r="BR10" s="15">
        <f t="shared" si="1"/>
        <v>29</v>
      </c>
      <c r="BS10" s="15">
        <f t="shared" si="1"/>
        <v>30</v>
      </c>
      <c r="BT10" s="75" t="s">
        <v>41</v>
      </c>
      <c r="BU10" s="75" t="str">
        <f>H10</f>
        <v>CF Due</v>
      </c>
      <c r="BV10" s="15" t="str">
        <f>A11</f>
        <v>Yr</v>
      </c>
      <c r="BW10" s="15" t="s">
        <v>41</v>
      </c>
      <c r="BX10" s="15" t="s">
        <v>107</v>
      </c>
    </row>
    <row r="11" spans="1:76">
      <c r="A11" s="27" t="s">
        <v>38</v>
      </c>
      <c r="B11" s="27" t="s">
        <v>34</v>
      </c>
      <c r="H11" s="23">
        <f>'ContractCFsExhs1-2'!F12</f>
        <v>-99</v>
      </c>
      <c r="L11" s="23">
        <f t="shared" ref="L11:AO11" si="2">IF(L10&gt;L8,0,$H11)</f>
        <v>-99</v>
      </c>
      <c r="M11" s="23">
        <f t="shared" si="2"/>
        <v>-99</v>
      </c>
      <c r="N11" s="23">
        <f t="shared" si="2"/>
        <v>-99</v>
      </c>
      <c r="O11" s="23">
        <f t="shared" si="2"/>
        <v>-99</v>
      </c>
      <c r="P11" s="23">
        <f t="shared" si="2"/>
        <v>-99</v>
      </c>
      <c r="Q11" s="23">
        <f t="shared" si="2"/>
        <v>-99</v>
      </c>
      <c r="R11" s="23">
        <f t="shared" si="2"/>
        <v>-99</v>
      </c>
      <c r="S11" s="23">
        <f t="shared" si="2"/>
        <v>-99</v>
      </c>
      <c r="T11" s="23">
        <f t="shared" si="2"/>
        <v>-99</v>
      </c>
      <c r="U11" s="23">
        <f t="shared" si="2"/>
        <v>-99</v>
      </c>
      <c r="V11" s="23">
        <f t="shared" si="2"/>
        <v>0</v>
      </c>
      <c r="W11" s="23">
        <f t="shared" si="2"/>
        <v>0</v>
      </c>
      <c r="X11" s="23">
        <f t="shared" si="2"/>
        <v>0</v>
      </c>
      <c r="Y11" s="23">
        <f t="shared" si="2"/>
        <v>0</v>
      </c>
      <c r="Z11" s="23">
        <f t="shared" si="2"/>
        <v>0</v>
      </c>
      <c r="AA11" s="23">
        <f t="shared" si="2"/>
        <v>0</v>
      </c>
      <c r="AB11" s="23">
        <f t="shared" si="2"/>
        <v>0</v>
      </c>
      <c r="AC11" s="23">
        <f t="shared" si="2"/>
        <v>0</v>
      </c>
      <c r="AD11" s="23">
        <f t="shared" si="2"/>
        <v>0</v>
      </c>
      <c r="AE11" s="23">
        <f t="shared" si="2"/>
        <v>0</v>
      </c>
      <c r="AF11" s="23">
        <f t="shared" si="2"/>
        <v>0</v>
      </c>
      <c r="AG11" s="23">
        <f t="shared" si="2"/>
        <v>0</v>
      </c>
      <c r="AH11" s="23">
        <f t="shared" si="2"/>
        <v>0</v>
      </c>
      <c r="AI11" s="23">
        <f t="shared" si="2"/>
        <v>0</v>
      </c>
      <c r="AJ11" s="23">
        <f t="shared" si="2"/>
        <v>0</v>
      </c>
      <c r="AK11" s="23">
        <f t="shared" si="2"/>
        <v>0</v>
      </c>
      <c r="AL11" s="23">
        <f t="shared" si="2"/>
        <v>0</v>
      </c>
      <c r="AM11" s="23">
        <f t="shared" si="2"/>
        <v>0</v>
      </c>
      <c r="AN11" s="23">
        <f t="shared" si="2"/>
        <v>0</v>
      </c>
      <c r="AO11" s="23">
        <f t="shared" si="2"/>
        <v>0</v>
      </c>
      <c r="AP11" s="46"/>
      <c r="BT11" s="23">
        <f>H11</f>
        <v>-99</v>
      </c>
      <c r="BW11" s="15">
        <f>SUM(BW12:BW41)/(1+B4)</f>
        <v>6.5944945859891764</v>
      </c>
      <c r="BX11" s="15">
        <f>SUM(BX12:BX41)/(1+B3)</f>
        <v>6.6921402619782118</v>
      </c>
    </row>
    <row r="12" spans="1:76">
      <c r="A12" s="15">
        <f>1+D1</f>
        <v>1</v>
      </c>
      <c r="B12" s="41">
        <f>'[2]Esaki Haz Calcs'!B6</f>
        <v>3.3E-3</v>
      </c>
      <c r="C12" s="41">
        <f t="shared" ref="C12:C41" si="3">1-B12</f>
        <v>0.99670000000000003</v>
      </c>
      <c r="D12" s="41">
        <f>C12</f>
        <v>0.99670000000000003</v>
      </c>
      <c r="E12" s="41">
        <f>B12</f>
        <v>3.3E-3</v>
      </c>
      <c r="F12" s="41">
        <f t="shared" ref="F12:F41" si="4">(E12/B$8)*A12</f>
        <v>2.1220101169023148E-2</v>
      </c>
      <c r="G12" s="41">
        <f t="shared" ref="G12:G41" si="5">1-D12</f>
        <v>3.2999999999999696E-3</v>
      </c>
      <c r="H12" s="23">
        <f>'ContractCFsExhs1-2'!F13</f>
        <v>8</v>
      </c>
      <c r="I12" s="23">
        <f>'ContractCFsExhs1-2'!E13</f>
        <v>100</v>
      </c>
      <c r="J12" s="23">
        <f>IF('ContractCFsExhs1-2'!A13&lt;'ContractCFsExhs1-2'!$D$7,'E(CFs)30yrs'!H12+'E(CFs)30yrs'!I12,IF('ContractCFsExhs1-2'!A13&gt;'ContractCFsExhs1-2'!$D$7,0,'E(CFs)30yrs'!H12))</f>
        <v>108</v>
      </c>
      <c r="K12" s="51">
        <v>0.8</v>
      </c>
      <c r="L12" s="15">
        <f t="shared" ref="L12:AA27" si="6">IF(L$10&gt;L$8,0,IF($A12&gt;L$10,0,IF($A12&lt;L$10,$H12,$J12*$K12)))</f>
        <v>86.4</v>
      </c>
      <c r="M12" s="15">
        <f t="shared" si="6"/>
        <v>8</v>
      </c>
      <c r="N12" s="15">
        <f t="shared" si="6"/>
        <v>8</v>
      </c>
      <c r="O12" s="15">
        <f t="shared" si="6"/>
        <v>8</v>
      </c>
      <c r="P12" s="15">
        <f t="shared" si="6"/>
        <v>8</v>
      </c>
      <c r="Q12" s="15">
        <f t="shared" si="6"/>
        <v>8</v>
      </c>
      <c r="R12" s="15">
        <f t="shared" si="6"/>
        <v>8</v>
      </c>
      <c r="S12" s="15">
        <f t="shared" si="6"/>
        <v>8</v>
      </c>
      <c r="T12" s="15">
        <f t="shared" si="6"/>
        <v>8</v>
      </c>
      <c r="U12" s="15">
        <f t="shared" si="6"/>
        <v>8</v>
      </c>
      <c r="V12" s="15">
        <f t="shared" si="6"/>
        <v>0</v>
      </c>
      <c r="W12" s="15">
        <f t="shared" si="6"/>
        <v>0</v>
      </c>
      <c r="X12" s="15">
        <f t="shared" si="6"/>
        <v>0</v>
      </c>
      <c r="Y12" s="15">
        <f t="shared" si="6"/>
        <v>0</v>
      </c>
      <c r="Z12" s="15">
        <f t="shared" si="6"/>
        <v>0</v>
      </c>
      <c r="AA12" s="15">
        <f t="shared" si="6"/>
        <v>0</v>
      </c>
      <c r="AB12" s="15">
        <f t="shared" ref="AB12:AO27" si="7">IF(AB$10&gt;AB$8,0,IF($A12&gt;AB$10,0,IF($A12&lt;AB$10,$H12,$J12*$K12)))</f>
        <v>0</v>
      </c>
      <c r="AC12" s="15">
        <f t="shared" si="7"/>
        <v>0</v>
      </c>
      <c r="AD12" s="15">
        <f t="shared" si="7"/>
        <v>0</v>
      </c>
      <c r="AE12" s="15">
        <f t="shared" si="7"/>
        <v>0</v>
      </c>
      <c r="AF12" s="15">
        <f t="shared" si="7"/>
        <v>0</v>
      </c>
      <c r="AG12" s="15">
        <f t="shared" si="7"/>
        <v>0</v>
      </c>
      <c r="AH12" s="15">
        <f t="shared" si="7"/>
        <v>0</v>
      </c>
      <c r="AI12" s="15">
        <f t="shared" si="7"/>
        <v>0</v>
      </c>
      <c r="AJ12" s="15">
        <f t="shared" si="7"/>
        <v>0</v>
      </c>
      <c r="AK12" s="15">
        <f t="shared" si="7"/>
        <v>0</v>
      </c>
      <c r="AL12" s="15">
        <f t="shared" si="7"/>
        <v>0</v>
      </c>
      <c r="AM12" s="15">
        <f t="shared" si="7"/>
        <v>0</v>
      </c>
      <c r="AN12" s="15">
        <f t="shared" si="7"/>
        <v>0</v>
      </c>
      <c r="AO12" s="15">
        <f t="shared" si="7"/>
        <v>0</v>
      </c>
      <c r="AP12" s="46">
        <f t="shared" ref="AP12:AP43" si="8">L12*$E$12</f>
        <v>0.28512000000000004</v>
      </c>
      <c r="AQ12" s="15">
        <f t="shared" ref="AQ12:AQ41" si="9">M12*$E$13</f>
        <v>9.4885840000000013E-2</v>
      </c>
      <c r="AR12" s="15">
        <f t="shared" ref="AR12:AR41" si="10">N12*$E$14</f>
        <v>0.12921091222400002</v>
      </c>
      <c r="AS12" s="15">
        <f t="shared" ref="AS12:AS41" si="11">O12*$E$15</f>
        <v>0.13251650553696961</v>
      </c>
      <c r="AT12" s="15">
        <f t="shared" ref="AT12:AT41" si="12">P12*$E$16</f>
        <v>0.12720367859539181</v>
      </c>
      <c r="AU12" s="15">
        <f t="shared" ref="AU12:AU41" si="13">Q12*$E$17</f>
        <v>0.13556507345194987</v>
      </c>
      <c r="AV12" s="15">
        <f t="shared" ref="AV12:AV41" si="14">R12*$E$18</f>
        <v>0.12208001863718204</v>
      </c>
      <c r="AW12" s="15">
        <f t="shared" ref="AW12:AW41" si="15">S12*$E$19</f>
        <v>7.8107090092788684E-2</v>
      </c>
      <c r="AX12" s="15">
        <f t="shared" ref="AX12:AX41" si="16">T12*$E$20</f>
        <v>6.8678696462032493E-2</v>
      </c>
      <c r="AY12" s="15">
        <f t="shared" ref="AY12:AY41" si="17">U12*$E$21</f>
        <v>5.1014535731997733E-2</v>
      </c>
      <c r="AZ12" s="15">
        <f t="shared" ref="AZ12:AZ41" si="18">V12*$E$22</f>
        <v>0</v>
      </c>
      <c r="BA12" s="15">
        <f t="shared" ref="BA12:BA41" si="19">W12*$E$23</f>
        <v>0</v>
      </c>
      <c r="BB12" s="15">
        <f t="shared" ref="BB12:BB41" si="20">X12*$E$24</f>
        <v>0</v>
      </c>
      <c r="BC12" s="15">
        <f t="shared" ref="BC12:BC41" si="21">Y12*$E$25</f>
        <v>0</v>
      </c>
      <c r="BD12" s="15">
        <f t="shared" ref="BD12:BD41" si="22">Z12*$E$26</f>
        <v>0</v>
      </c>
      <c r="BE12" s="15">
        <f t="shared" ref="BE12:BE41" si="23">AA12*$E$27</f>
        <v>0</v>
      </c>
      <c r="BF12" s="15">
        <f t="shared" ref="BF12:BF41" si="24">AB12*$E$28</f>
        <v>0</v>
      </c>
      <c r="BG12" s="15">
        <f t="shared" ref="BG12:BG41" si="25">AC12*$E$29</f>
        <v>0</v>
      </c>
      <c r="BH12" s="15">
        <f t="shared" ref="BH12:BH41" si="26">AD12*$E$30</f>
        <v>0</v>
      </c>
      <c r="BI12" s="15">
        <f t="shared" ref="BI12:BI41" si="27">AE12*$E$31</f>
        <v>0</v>
      </c>
      <c r="BJ12" s="15">
        <f t="shared" ref="BJ12:BJ41" si="28">AF12*$E$32</f>
        <v>0</v>
      </c>
      <c r="BK12" s="15">
        <f t="shared" ref="BK12:BK41" si="29">AG12*$E$33</f>
        <v>0</v>
      </c>
      <c r="BL12" s="15">
        <f t="shared" ref="BL12:BL41" si="30">AH12*$E$34</f>
        <v>0</v>
      </c>
      <c r="BM12" s="15">
        <f t="shared" ref="BM12:BM41" si="31">AI12*$E$35</f>
        <v>0</v>
      </c>
      <c r="BN12" s="15">
        <f t="shared" ref="BN12:BN41" si="32">AJ12*$E$36</f>
        <v>0</v>
      </c>
      <c r="BO12" s="15">
        <f t="shared" ref="BO12:BO41" si="33">AK12*$E$37</f>
        <v>0</v>
      </c>
      <c r="BP12" s="15">
        <f t="shared" ref="BP12:BP41" si="34">AL12*$E$38</f>
        <v>0</v>
      </c>
      <c r="BQ12" s="15">
        <f t="shared" ref="BQ12:BQ41" si="35">AM12*$E$39</f>
        <v>0</v>
      </c>
      <c r="BR12" s="15">
        <f t="shared" ref="BR12:BR41" si="36">AN12*$E$40</f>
        <v>0</v>
      </c>
      <c r="BS12" s="15">
        <f t="shared" ref="BS12:BS41" si="37">AO12*$E$41</f>
        <v>0</v>
      </c>
      <c r="BT12" s="23">
        <f t="shared" ref="BT12:BT41" si="38">SUM(AP12:BS12)+(1-B$8)*H12</f>
        <v>7.9802789513320107</v>
      </c>
      <c r="BU12" s="23">
        <f t="shared" ref="BU12:BU41" si="39">H12</f>
        <v>8</v>
      </c>
      <c r="BV12" s="15">
        <f t="shared" ref="BV12:BV41" si="40">A12</f>
        <v>1</v>
      </c>
      <c r="BW12" s="15">
        <f t="shared" ref="BW12:BW41" si="41">$BV12*(BT12/(1+$B$4)^$BV12)/(-$BT$11)</f>
        <v>7.5058411481893933E-2</v>
      </c>
      <c r="BX12" s="15">
        <f t="shared" ref="BX12:BX41" si="42">$BV12*(BU12/(1+B$3)^$BV12)/(-$BT$11)</f>
        <v>7.4484672466794147E-2</v>
      </c>
    </row>
    <row r="13" spans="1:76">
      <c r="A13" s="15">
        <f t="shared" ref="A13:A41" si="43">1+A12</f>
        <v>2</v>
      </c>
      <c r="B13" s="41">
        <f>'[2]Esaki Haz Calcs'!B7</f>
        <v>1.1900000000000001E-2</v>
      </c>
      <c r="C13" s="41">
        <f t="shared" si="3"/>
        <v>0.98809999999999998</v>
      </c>
      <c r="D13" s="41">
        <f t="shared" ref="D13:D41" si="44">C13*D12</f>
        <v>0.98483927000000004</v>
      </c>
      <c r="E13" s="41">
        <f t="shared" ref="E13:E41" si="45">B13*D12</f>
        <v>1.1860730000000002E-2</v>
      </c>
      <c r="F13" s="41">
        <f t="shared" si="4"/>
        <v>0.15253690335664724</v>
      </c>
      <c r="G13" s="41">
        <f t="shared" si="5"/>
        <v>1.5160729999999956E-2</v>
      </c>
      <c r="H13" s="23">
        <f>'ContractCFsExhs1-2'!F14</f>
        <v>8</v>
      </c>
      <c r="I13" s="23">
        <f>'ContractCFsExhs1-2'!E14</f>
        <v>100</v>
      </c>
      <c r="J13" s="23">
        <f>IF('ContractCFsExhs1-2'!A14&lt;'ContractCFsExhs1-2'!$D$7,'E(CFs)30yrs'!H13+'E(CFs)30yrs'!I13,IF('ContractCFsExhs1-2'!A14&gt;'ContractCFsExhs1-2'!$D$7,0,'E(CFs)30yrs'!H13))</f>
        <v>108</v>
      </c>
      <c r="K13" s="51">
        <v>0.7</v>
      </c>
      <c r="L13" s="15">
        <f t="shared" si="6"/>
        <v>0</v>
      </c>
      <c r="M13" s="15">
        <f t="shared" si="6"/>
        <v>75.599999999999994</v>
      </c>
      <c r="N13" s="15">
        <f t="shared" si="6"/>
        <v>8</v>
      </c>
      <c r="O13" s="15">
        <f t="shared" si="6"/>
        <v>8</v>
      </c>
      <c r="P13" s="15">
        <f t="shared" si="6"/>
        <v>8</v>
      </c>
      <c r="Q13" s="15">
        <f t="shared" si="6"/>
        <v>8</v>
      </c>
      <c r="R13" s="15">
        <f t="shared" si="6"/>
        <v>8</v>
      </c>
      <c r="S13" s="15">
        <f t="shared" si="6"/>
        <v>8</v>
      </c>
      <c r="T13" s="15">
        <f t="shared" si="6"/>
        <v>8</v>
      </c>
      <c r="U13" s="15">
        <f t="shared" si="6"/>
        <v>8</v>
      </c>
      <c r="V13" s="15">
        <f t="shared" si="6"/>
        <v>0</v>
      </c>
      <c r="W13" s="15">
        <f t="shared" si="6"/>
        <v>0</v>
      </c>
      <c r="X13" s="15">
        <f t="shared" si="6"/>
        <v>0</v>
      </c>
      <c r="Y13" s="15">
        <f t="shared" si="6"/>
        <v>0</v>
      </c>
      <c r="Z13" s="15">
        <f t="shared" si="6"/>
        <v>0</v>
      </c>
      <c r="AA13" s="15">
        <f t="shared" si="6"/>
        <v>0</v>
      </c>
      <c r="AB13" s="15">
        <f t="shared" si="7"/>
        <v>0</v>
      </c>
      <c r="AC13" s="15">
        <f t="shared" si="7"/>
        <v>0</v>
      </c>
      <c r="AD13" s="15">
        <f t="shared" si="7"/>
        <v>0</v>
      </c>
      <c r="AE13" s="15">
        <f t="shared" si="7"/>
        <v>0</v>
      </c>
      <c r="AF13" s="15">
        <f t="shared" si="7"/>
        <v>0</v>
      </c>
      <c r="AG13" s="15">
        <f t="shared" si="7"/>
        <v>0</v>
      </c>
      <c r="AH13" s="15">
        <f t="shared" si="7"/>
        <v>0</v>
      </c>
      <c r="AI13" s="15">
        <f t="shared" si="7"/>
        <v>0</v>
      </c>
      <c r="AJ13" s="15">
        <f t="shared" si="7"/>
        <v>0</v>
      </c>
      <c r="AK13" s="15">
        <f t="shared" si="7"/>
        <v>0</v>
      </c>
      <c r="AL13" s="15">
        <f t="shared" si="7"/>
        <v>0</v>
      </c>
      <c r="AM13" s="15">
        <f t="shared" si="7"/>
        <v>0</v>
      </c>
      <c r="AN13" s="15">
        <f t="shared" si="7"/>
        <v>0</v>
      </c>
      <c r="AO13" s="15">
        <f t="shared" si="7"/>
        <v>0</v>
      </c>
      <c r="AP13" s="46">
        <f t="shared" si="8"/>
        <v>0</v>
      </c>
      <c r="AQ13" s="15">
        <f t="shared" si="9"/>
        <v>0.89667118800000001</v>
      </c>
      <c r="AR13" s="15">
        <f t="shared" si="10"/>
        <v>0.12921091222400002</v>
      </c>
      <c r="AS13" s="15">
        <f t="shared" si="11"/>
        <v>0.13251650553696961</v>
      </c>
      <c r="AT13" s="15">
        <f t="shared" si="12"/>
        <v>0.12720367859539181</v>
      </c>
      <c r="AU13" s="15">
        <f t="shared" si="13"/>
        <v>0.13556507345194987</v>
      </c>
      <c r="AV13" s="15">
        <f t="shared" si="14"/>
        <v>0.12208001863718204</v>
      </c>
      <c r="AW13" s="15">
        <f t="shared" si="15"/>
        <v>7.8107090092788684E-2</v>
      </c>
      <c r="AX13" s="15">
        <f t="shared" si="16"/>
        <v>6.8678696462032493E-2</v>
      </c>
      <c r="AY13" s="15">
        <f t="shared" si="17"/>
        <v>5.1014535731997733E-2</v>
      </c>
      <c r="AZ13" s="15">
        <f t="shared" si="18"/>
        <v>0</v>
      </c>
      <c r="BA13" s="15">
        <f t="shared" si="19"/>
        <v>0</v>
      </c>
      <c r="BB13" s="15">
        <f t="shared" si="20"/>
        <v>0</v>
      </c>
      <c r="BC13" s="15">
        <f t="shared" si="21"/>
        <v>0</v>
      </c>
      <c r="BD13" s="15">
        <f t="shared" si="22"/>
        <v>0</v>
      </c>
      <c r="BE13" s="15">
        <f t="shared" si="23"/>
        <v>0</v>
      </c>
      <c r="BF13" s="15">
        <f t="shared" si="24"/>
        <v>0</v>
      </c>
      <c r="BG13" s="15">
        <f t="shared" si="25"/>
        <v>0</v>
      </c>
      <c r="BH13" s="15">
        <f t="shared" si="26"/>
        <v>0</v>
      </c>
      <c r="BI13" s="15">
        <f t="shared" si="27"/>
        <v>0</v>
      </c>
      <c r="BJ13" s="15">
        <f t="shared" si="28"/>
        <v>0</v>
      </c>
      <c r="BK13" s="15">
        <f t="shared" si="29"/>
        <v>0</v>
      </c>
      <c r="BL13" s="15">
        <f t="shared" si="30"/>
        <v>0</v>
      </c>
      <c r="BM13" s="15">
        <f t="shared" si="31"/>
        <v>0</v>
      </c>
      <c r="BN13" s="15">
        <f t="shared" si="32"/>
        <v>0</v>
      </c>
      <c r="BO13" s="15">
        <f t="shared" si="33"/>
        <v>0</v>
      </c>
      <c r="BP13" s="15">
        <f t="shared" si="34"/>
        <v>0</v>
      </c>
      <c r="BQ13" s="15">
        <f t="shared" si="35"/>
        <v>0</v>
      </c>
      <c r="BR13" s="15">
        <f t="shared" si="36"/>
        <v>0</v>
      </c>
      <c r="BS13" s="15">
        <f t="shared" si="37"/>
        <v>0</v>
      </c>
      <c r="BT13" s="23">
        <f t="shared" si="38"/>
        <v>8.4969442993320108</v>
      </c>
      <c r="BU13" s="23">
        <f t="shared" si="39"/>
        <v>8</v>
      </c>
      <c r="BV13" s="15">
        <f t="shared" si="40"/>
        <v>2</v>
      </c>
      <c r="BW13" s="15">
        <f t="shared" si="41"/>
        <v>0.14883002491802944</v>
      </c>
      <c r="BX13" s="15">
        <f t="shared" si="42"/>
        <v>0.13731216920401862</v>
      </c>
    </row>
    <row r="14" spans="1:76">
      <c r="A14" s="15">
        <f t="shared" si="43"/>
        <v>3</v>
      </c>
      <c r="B14" s="41">
        <f>'[2]Esaki Haz Calcs'!B8</f>
        <v>1.6400000000000001E-2</v>
      </c>
      <c r="C14" s="41">
        <f t="shared" si="3"/>
        <v>0.98360000000000003</v>
      </c>
      <c r="D14" s="41">
        <f t="shared" si="44"/>
        <v>0.96868790597200005</v>
      </c>
      <c r="E14" s="41">
        <f t="shared" si="45"/>
        <v>1.6151364028000003E-2</v>
      </c>
      <c r="F14" s="41">
        <f t="shared" si="4"/>
        <v>0.31157598062898301</v>
      </c>
      <c r="G14" s="41">
        <f t="shared" si="5"/>
        <v>3.1312094027999948E-2</v>
      </c>
      <c r="H14" s="23">
        <f>'ContractCFsExhs1-2'!F15</f>
        <v>8</v>
      </c>
      <c r="I14" s="23">
        <f>'ContractCFsExhs1-2'!E15</f>
        <v>100</v>
      </c>
      <c r="J14" s="23">
        <f>IF('ContractCFsExhs1-2'!A15&lt;'ContractCFsExhs1-2'!$D$7,'E(CFs)30yrs'!H14+'E(CFs)30yrs'!I14,IF('ContractCFsExhs1-2'!A15&gt;'ContractCFsExhs1-2'!$D$7,0,'E(CFs)30yrs'!H14))</f>
        <v>108</v>
      </c>
      <c r="K14" s="51">
        <v>0.6</v>
      </c>
      <c r="L14" s="15">
        <f t="shared" si="6"/>
        <v>0</v>
      </c>
      <c r="M14" s="15">
        <f t="shared" si="6"/>
        <v>0</v>
      </c>
      <c r="N14" s="15">
        <f t="shared" si="6"/>
        <v>64.8</v>
      </c>
      <c r="O14" s="15">
        <f t="shared" si="6"/>
        <v>8</v>
      </c>
      <c r="P14" s="15">
        <f t="shared" si="6"/>
        <v>8</v>
      </c>
      <c r="Q14" s="15">
        <f t="shared" si="6"/>
        <v>8</v>
      </c>
      <c r="R14" s="15">
        <f t="shared" si="6"/>
        <v>8</v>
      </c>
      <c r="S14" s="15">
        <f t="shared" si="6"/>
        <v>8</v>
      </c>
      <c r="T14" s="15">
        <f t="shared" si="6"/>
        <v>8</v>
      </c>
      <c r="U14" s="15">
        <f t="shared" si="6"/>
        <v>8</v>
      </c>
      <c r="V14" s="15">
        <f t="shared" si="6"/>
        <v>0</v>
      </c>
      <c r="W14" s="15">
        <f t="shared" si="6"/>
        <v>0</v>
      </c>
      <c r="X14" s="15">
        <f t="shared" si="6"/>
        <v>0</v>
      </c>
      <c r="Y14" s="15">
        <f t="shared" si="6"/>
        <v>0</v>
      </c>
      <c r="Z14" s="15">
        <f t="shared" si="6"/>
        <v>0</v>
      </c>
      <c r="AA14" s="15">
        <f t="shared" si="6"/>
        <v>0</v>
      </c>
      <c r="AB14" s="15">
        <f t="shared" si="7"/>
        <v>0</v>
      </c>
      <c r="AC14" s="15">
        <f t="shared" si="7"/>
        <v>0</v>
      </c>
      <c r="AD14" s="15">
        <f t="shared" si="7"/>
        <v>0</v>
      </c>
      <c r="AE14" s="15">
        <f t="shared" si="7"/>
        <v>0</v>
      </c>
      <c r="AF14" s="15">
        <f t="shared" si="7"/>
        <v>0</v>
      </c>
      <c r="AG14" s="15">
        <f t="shared" si="7"/>
        <v>0</v>
      </c>
      <c r="AH14" s="15">
        <f t="shared" si="7"/>
        <v>0</v>
      </c>
      <c r="AI14" s="15">
        <f t="shared" si="7"/>
        <v>0</v>
      </c>
      <c r="AJ14" s="15">
        <f t="shared" si="7"/>
        <v>0</v>
      </c>
      <c r="AK14" s="15">
        <f t="shared" si="7"/>
        <v>0</v>
      </c>
      <c r="AL14" s="15">
        <f t="shared" si="7"/>
        <v>0</v>
      </c>
      <c r="AM14" s="15">
        <f t="shared" si="7"/>
        <v>0</v>
      </c>
      <c r="AN14" s="15">
        <f t="shared" si="7"/>
        <v>0</v>
      </c>
      <c r="AO14" s="15">
        <f t="shared" si="7"/>
        <v>0</v>
      </c>
      <c r="AP14" s="46">
        <f t="shared" si="8"/>
        <v>0</v>
      </c>
      <c r="AQ14" s="15">
        <f t="shared" si="9"/>
        <v>0</v>
      </c>
      <c r="AR14" s="15">
        <f t="shared" si="10"/>
        <v>1.0466083890144002</v>
      </c>
      <c r="AS14" s="15">
        <f t="shared" si="11"/>
        <v>0.13251650553696961</v>
      </c>
      <c r="AT14" s="15">
        <f t="shared" si="12"/>
        <v>0.12720367859539181</v>
      </c>
      <c r="AU14" s="15">
        <f t="shared" si="13"/>
        <v>0.13556507345194987</v>
      </c>
      <c r="AV14" s="15">
        <f t="shared" si="14"/>
        <v>0.12208001863718204</v>
      </c>
      <c r="AW14" s="15">
        <f t="shared" si="15"/>
        <v>7.8107090092788684E-2</v>
      </c>
      <c r="AX14" s="15">
        <f t="shared" si="16"/>
        <v>6.8678696462032493E-2</v>
      </c>
      <c r="AY14" s="15">
        <f t="shared" si="17"/>
        <v>5.1014535731997733E-2</v>
      </c>
      <c r="AZ14" s="15">
        <f t="shared" si="18"/>
        <v>0</v>
      </c>
      <c r="BA14" s="15">
        <f t="shared" si="19"/>
        <v>0</v>
      </c>
      <c r="BB14" s="15">
        <f t="shared" si="20"/>
        <v>0</v>
      </c>
      <c r="BC14" s="15">
        <f t="shared" si="21"/>
        <v>0</v>
      </c>
      <c r="BD14" s="15">
        <f t="shared" si="22"/>
        <v>0</v>
      </c>
      <c r="BE14" s="15">
        <f t="shared" si="23"/>
        <v>0</v>
      </c>
      <c r="BF14" s="15">
        <f t="shared" si="24"/>
        <v>0</v>
      </c>
      <c r="BG14" s="15">
        <f t="shared" si="25"/>
        <v>0</v>
      </c>
      <c r="BH14" s="15">
        <f t="shared" si="26"/>
        <v>0</v>
      </c>
      <c r="BI14" s="15">
        <f t="shared" si="27"/>
        <v>0</v>
      </c>
      <c r="BJ14" s="15">
        <f t="shared" si="28"/>
        <v>0</v>
      </c>
      <c r="BK14" s="15">
        <f t="shared" si="29"/>
        <v>0</v>
      </c>
      <c r="BL14" s="15">
        <f t="shared" si="30"/>
        <v>0</v>
      </c>
      <c r="BM14" s="15">
        <f t="shared" si="31"/>
        <v>0</v>
      </c>
      <c r="BN14" s="15">
        <f t="shared" si="32"/>
        <v>0</v>
      </c>
      <c r="BO14" s="15">
        <f t="shared" si="33"/>
        <v>0</v>
      </c>
      <c r="BP14" s="15">
        <f t="shared" si="34"/>
        <v>0</v>
      </c>
      <c r="BQ14" s="15">
        <f t="shared" si="35"/>
        <v>0</v>
      </c>
      <c r="BR14" s="15">
        <f t="shared" si="36"/>
        <v>0</v>
      </c>
      <c r="BS14" s="15">
        <f t="shared" si="37"/>
        <v>0</v>
      </c>
      <c r="BT14" s="23">
        <f t="shared" si="38"/>
        <v>8.517670588122412</v>
      </c>
      <c r="BU14" s="23">
        <f t="shared" si="39"/>
        <v>8</v>
      </c>
      <c r="BV14" s="15">
        <f t="shared" si="40"/>
        <v>3</v>
      </c>
      <c r="BW14" s="15">
        <f t="shared" si="41"/>
        <v>0.20838016302420842</v>
      </c>
      <c r="BX14" s="15">
        <f t="shared" si="42"/>
        <v>0.18985078930083152</v>
      </c>
    </row>
    <row r="15" spans="1:76">
      <c r="A15" s="15">
        <f t="shared" si="43"/>
        <v>4</v>
      </c>
      <c r="B15" s="41">
        <f>'[2]Esaki Haz Calcs'!B9</f>
        <v>1.7100000000000001E-2</v>
      </c>
      <c r="C15" s="41">
        <f t="shared" si="3"/>
        <v>0.9829</v>
      </c>
      <c r="D15" s="41">
        <f t="shared" si="44"/>
        <v>0.95212334277987887</v>
      </c>
      <c r="E15" s="41">
        <f t="shared" si="45"/>
        <v>1.6564563192121202E-2</v>
      </c>
      <c r="F15" s="41">
        <f t="shared" si="4"/>
        <v>0.42606267485756233</v>
      </c>
      <c r="G15" s="41">
        <f t="shared" si="5"/>
        <v>4.7876657220121133E-2</v>
      </c>
      <c r="H15" s="23">
        <f>'ContractCFsExhs1-2'!F16</f>
        <v>8</v>
      </c>
      <c r="I15" s="23">
        <f>'ContractCFsExhs1-2'!E16</f>
        <v>100</v>
      </c>
      <c r="J15" s="23">
        <f>IF('ContractCFsExhs1-2'!A16&lt;'ContractCFsExhs1-2'!$D$7,'E(CFs)30yrs'!H15+'E(CFs)30yrs'!I15,IF('ContractCFsExhs1-2'!A16&gt;'ContractCFsExhs1-2'!$D$7,0,'E(CFs)30yrs'!H15))</f>
        <v>108</v>
      </c>
      <c r="K15" s="51">
        <f t="shared" ref="K15:K41" si="46">K14</f>
        <v>0.6</v>
      </c>
      <c r="L15" s="15">
        <f t="shared" si="6"/>
        <v>0</v>
      </c>
      <c r="M15" s="15">
        <f t="shared" si="6"/>
        <v>0</v>
      </c>
      <c r="N15" s="15">
        <f t="shared" si="6"/>
        <v>0</v>
      </c>
      <c r="O15" s="15">
        <f t="shared" si="6"/>
        <v>64.8</v>
      </c>
      <c r="P15" s="15">
        <f t="shared" si="6"/>
        <v>8</v>
      </c>
      <c r="Q15" s="15">
        <f t="shared" si="6"/>
        <v>8</v>
      </c>
      <c r="R15" s="15">
        <f t="shared" si="6"/>
        <v>8</v>
      </c>
      <c r="S15" s="15">
        <f t="shared" si="6"/>
        <v>8</v>
      </c>
      <c r="T15" s="15">
        <f t="shared" si="6"/>
        <v>8</v>
      </c>
      <c r="U15" s="15">
        <f t="shared" si="6"/>
        <v>8</v>
      </c>
      <c r="V15" s="15">
        <f t="shared" si="6"/>
        <v>0</v>
      </c>
      <c r="W15" s="15">
        <f t="shared" si="6"/>
        <v>0</v>
      </c>
      <c r="X15" s="15">
        <f t="shared" si="6"/>
        <v>0</v>
      </c>
      <c r="Y15" s="15">
        <f t="shared" si="6"/>
        <v>0</v>
      </c>
      <c r="Z15" s="15">
        <f t="shared" si="6"/>
        <v>0</v>
      </c>
      <c r="AA15" s="15">
        <f t="shared" si="6"/>
        <v>0</v>
      </c>
      <c r="AB15" s="15">
        <f t="shared" si="7"/>
        <v>0</v>
      </c>
      <c r="AC15" s="15">
        <f t="shared" si="7"/>
        <v>0</v>
      </c>
      <c r="AD15" s="15">
        <f t="shared" si="7"/>
        <v>0</v>
      </c>
      <c r="AE15" s="15">
        <f t="shared" si="7"/>
        <v>0</v>
      </c>
      <c r="AF15" s="15">
        <f t="shared" si="7"/>
        <v>0</v>
      </c>
      <c r="AG15" s="15">
        <f t="shared" si="7"/>
        <v>0</v>
      </c>
      <c r="AH15" s="15">
        <f t="shared" si="7"/>
        <v>0</v>
      </c>
      <c r="AI15" s="15">
        <f t="shared" si="7"/>
        <v>0</v>
      </c>
      <c r="AJ15" s="15">
        <f t="shared" si="7"/>
        <v>0</v>
      </c>
      <c r="AK15" s="15">
        <f t="shared" si="7"/>
        <v>0</v>
      </c>
      <c r="AL15" s="15">
        <f t="shared" si="7"/>
        <v>0</v>
      </c>
      <c r="AM15" s="15">
        <f t="shared" si="7"/>
        <v>0</v>
      </c>
      <c r="AN15" s="15">
        <f t="shared" si="7"/>
        <v>0</v>
      </c>
      <c r="AO15" s="15">
        <f t="shared" si="7"/>
        <v>0</v>
      </c>
      <c r="AP15" s="46">
        <f t="shared" si="8"/>
        <v>0</v>
      </c>
      <c r="AQ15" s="15">
        <f t="shared" si="9"/>
        <v>0</v>
      </c>
      <c r="AR15" s="15">
        <f t="shared" si="10"/>
        <v>0</v>
      </c>
      <c r="AS15" s="15">
        <f t="shared" si="11"/>
        <v>1.0733836948494537</v>
      </c>
      <c r="AT15" s="15">
        <f t="shared" si="12"/>
        <v>0.12720367859539181</v>
      </c>
      <c r="AU15" s="15">
        <f t="shared" si="13"/>
        <v>0.13556507345194987</v>
      </c>
      <c r="AV15" s="15">
        <f t="shared" si="14"/>
        <v>0.12208001863718204</v>
      </c>
      <c r="AW15" s="15">
        <f t="shared" si="15"/>
        <v>7.8107090092788684E-2</v>
      </c>
      <c r="AX15" s="15">
        <f t="shared" si="16"/>
        <v>6.8678696462032493E-2</v>
      </c>
      <c r="AY15" s="15">
        <f t="shared" si="17"/>
        <v>5.1014535731997733E-2</v>
      </c>
      <c r="AZ15" s="15">
        <f t="shared" si="18"/>
        <v>0</v>
      </c>
      <c r="BA15" s="15">
        <f t="shared" si="19"/>
        <v>0</v>
      </c>
      <c r="BB15" s="15">
        <f t="shared" si="20"/>
        <v>0</v>
      </c>
      <c r="BC15" s="15">
        <f t="shared" si="21"/>
        <v>0</v>
      </c>
      <c r="BD15" s="15">
        <f t="shared" si="22"/>
        <v>0</v>
      </c>
      <c r="BE15" s="15">
        <f t="shared" si="23"/>
        <v>0</v>
      </c>
      <c r="BF15" s="15">
        <f t="shared" si="24"/>
        <v>0</v>
      </c>
      <c r="BG15" s="15">
        <f t="shared" si="25"/>
        <v>0</v>
      </c>
      <c r="BH15" s="15">
        <f t="shared" si="26"/>
        <v>0</v>
      </c>
      <c r="BI15" s="15">
        <f t="shared" si="27"/>
        <v>0</v>
      </c>
      <c r="BJ15" s="15">
        <f t="shared" si="28"/>
        <v>0</v>
      </c>
      <c r="BK15" s="15">
        <f t="shared" si="29"/>
        <v>0</v>
      </c>
      <c r="BL15" s="15">
        <f t="shared" si="30"/>
        <v>0</v>
      </c>
      <c r="BM15" s="15">
        <f t="shared" si="31"/>
        <v>0</v>
      </c>
      <c r="BN15" s="15">
        <f t="shared" si="32"/>
        <v>0</v>
      </c>
      <c r="BO15" s="15">
        <f t="shared" si="33"/>
        <v>0</v>
      </c>
      <c r="BP15" s="15">
        <f t="shared" si="34"/>
        <v>0</v>
      </c>
      <c r="BQ15" s="15">
        <f t="shared" si="35"/>
        <v>0</v>
      </c>
      <c r="BR15" s="15">
        <f t="shared" si="36"/>
        <v>0</v>
      </c>
      <c r="BS15" s="15">
        <f t="shared" si="37"/>
        <v>0</v>
      </c>
      <c r="BT15" s="23">
        <f t="shared" si="38"/>
        <v>8.4119293884204946</v>
      </c>
      <c r="BU15" s="23">
        <f t="shared" si="39"/>
        <v>8</v>
      </c>
      <c r="BV15" s="15">
        <f t="shared" si="40"/>
        <v>4</v>
      </c>
      <c r="BW15" s="15">
        <f t="shared" si="41"/>
        <v>0.25549733786904233</v>
      </c>
      <c r="BX15" s="15">
        <f t="shared" si="42"/>
        <v>0.23332606866747388</v>
      </c>
    </row>
    <row r="16" spans="1:76">
      <c r="A16" s="15">
        <f t="shared" si="43"/>
        <v>5</v>
      </c>
      <c r="B16" s="41">
        <f>'[2]Esaki Haz Calcs'!B10</f>
        <v>1.67E-2</v>
      </c>
      <c r="C16" s="41">
        <f t="shared" si="3"/>
        <v>0.98329999999999995</v>
      </c>
      <c r="D16" s="41">
        <f t="shared" si="44"/>
        <v>0.93622288295545486</v>
      </c>
      <c r="E16" s="41">
        <f t="shared" si="45"/>
        <v>1.5900459824423976E-2</v>
      </c>
      <c r="F16" s="41">
        <f t="shared" si="4"/>
        <v>0.51122631228524973</v>
      </c>
      <c r="G16" s="41">
        <f t="shared" si="5"/>
        <v>6.377711704454514E-2</v>
      </c>
      <c r="H16" s="23">
        <f>'ContractCFsExhs1-2'!F17</f>
        <v>8</v>
      </c>
      <c r="I16" s="23">
        <f>'ContractCFsExhs1-2'!E17</f>
        <v>100</v>
      </c>
      <c r="J16" s="23">
        <f>IF('ContractCFsExhs1-2'!A17&lt;'ContractCFsExhs1-2'!$D$7,'E(CFs)30yrs'!H16+'E(CFs)30yrs'!I16,IF('ContractCFsExhs1-2'!A17&gt;'ContractCFsExhs1-2'!$D$7,0,'E(CFs)30yrs'!H16))</f>
        <v>108</v>
      </c>
      <c r="K16" s="51">
        <f t="shared" si="46"/>
        <v>0.6</v>
      </c>
      <c r="L16" s="15">
        <f t="shared" si="6"/>
        <v>0</v>
      </c>
      <c r="M16" s="15">
        <f t="shared" si="6"/>
        <v>0</v>
      </c>
      <c r="N16" s="15">
        <f t="shared" si="6"/>
        <v>0</v>
      </c>
      <c r="O16" s="15">
        <f t="shared" si="6"/>
        <v>0</v>
      </c>
      <c r="P16" s="15">
        <f t="shared" si="6"/>
        <v>64.8</v>
      </c>
      <c r="Q16" s="15">
        <f t="shared" si="6"/>
        <v>8</v>
      </c>
      <c r="R16" s="15">
        <f t="shared" si="6"/>
        <v>8</v>
      </c>
      <c r="S16" s="15">
        <f t="shared" si="6"/>
        <v>8</v>
      </c>
      <c r="T16" s="15">
        <f t="shared" si="6"/>
        <v>8</v>
      </c>
      <c r="U16" s="15">
        <f t="shared" si="6"/>
        <v>8</v>
      </c>
      <c r="V16" s="15">
        <f t="shared" si="6"/>
        <v>0</v>
      </c>
      <c r="W16" s="15">
        <f t="shared" si="6"/>
        <v>0</v>
      </c>
      <c r="X16" s="15">
        <f t="shared" si="6"/>
        <v>0</v>
      </c>
      <c r="Y16" s="15">
        <f t="shared" si="6"/>
        <v>0</v>
      </c>
      <c r="Z16" s="15">
        <f t="shared" si="6"/>
        <v>0</v>
      </c>
      <c r="AA16" s="15">
        <f t="shared" si="6"/>
        <v>0</v>
      </c>
      <c r="AB16" s="15">
        <f t="shared" si="7"/>
        <v>0</v>
      </c>
      <c r="AC16" s="15">
        <f t="shared" si="7"/>
        <v>0</v>
      </c>
      <c r="AD16" s="15">
        <f t="shared" si="7"/>
        <v>0</v>
      </c>
      <c r="AE16" s="15">
        <f t="shared" si="7"/>
        <v>0</v>
      </c>
      <c r="AF16" s="15">
        <f t="shared" si="7"/>
        <v>0</v>
      </c>
      <c r="AG16" s="15">
        <f t="shared" si="7"/>
        <v>0</v>
      </c>
      <c r="AH16" s="15">
        <f t="shared" si="7"/>
        <v>0</v>
      </c>
      <c r="AI16" s="15">
        <f t="shared" si="7"/>
        <v>0</v>
      </c>
      <c r="AJ16" s="15">
        <f t="shared" si="7"/>
        <v>0</v>
      </c>
      <c r="AK16" s="15">
        <f t="shared" si="7"/>
        <v>0</v>
      </c>
      <c r="AL16" s="15">
        <f t="shared" si="7"/>
        <v>0</v>
      </c>
      <c r="AM16" s="15">
        <f t="shared" si="7"/>
        <v>0</v>
      </c>
      <c r="AN16" s="15">
        <f t="shared" si="7"/>
        <v>0</v>
      </c>
      <c r="AO16" s="15">
        <f t="shared" si="7"/>
        <v>0</v>
      </c>
      <c r="AP16" s="46">
        <f t="shared" si="8"/>
        <v>0</v>
      </c>
      <c r="AQ16" s="15">
        <f t="shared" si="9"/>
        <v>0</v>
      </c>
      <c r="AR16" s="15">
        <f t="shared" si="10"/>
        <v>0</v>
      </c>
      <c r="AS16" s="15">
        <f t="shared" si="11"/>
        <v>0</v>
      </c>
      <c r="AT16" s="15">
        <f t="shared" si="12"/>
        <v>1.0303497966226736</v>
      </c>
      <c r="AU16" s="15">
        <f t="shared" si="13"/>
        <v>0.13556507345194987</v>
      </c>
      <c r="AV16" s="15">
        <f t="shared" si="14"/>
        <v>0.12208001863718204</v>
      </c>
      <c r="AW16" s="15">
        <f t="shared" si="15"/>
        <v>7.8107090092788684E-2</v>
      </c>
      <c r="AX16" s="15">
        <f t="shared" si="16"/>
        <v>6.8678696462032493E-2</v>
      </c>
      <c r="AY16" s="15">
        <f t="shared" si="17"/>
        <v>5.1014535731997733E-2</v>
      </c>
      <c r="AZ16" s="15">
        <f t="shared" si="18"/>
        <v>0</v>
      </c>
      <c r="BA16" s="15">
        <f t="shared" si="19"/>
        <v>0</v>
      </c>
      <c r="BB16" s="15">
        <f t="shared" si="20"/>
        <v>0</v>
      </c>
      <c r="BC16" s="15">
        <f t="shared" si="21"/>
        <v>0</v>
      </c>
      <c r="BD16" s="15">
        <f t="shared" si="22"/>
        <v>0</v>
      </c>
      <c r="BE16" s="15">
        <f t="shared" si="23"/>
        <v>0</v>
      </c>
      <c r="BF16" s="15">
        <f t="shared" si="24"/>
        <v>0</v>
      </c>
      <c r="BG16" s="15">
        <f t="shared" si="25"/>
        <v>0</v>
      </c>
      <c r="BH16" s="15">
        <f t="shared" si="26"/>
        <v>0</v>
      </c>
      <c r="BI16" s="15">
        <f t="shared" si="27"/>
        <v>0</v>
      </c>
      <c r="BJ16" s="15">
        <f t="shared" si="28"/>
        <v>0</v>
      </c>
      <c r="BK16" s="15">
        <f t="shared" si="29"/>
        <v>0</v>
      </c>
      <c r="BL16" s="15">
        <f t="shared" si="30"/>
        <v>0</v>
      </c>
      <c r="BM16" s="15">
        <f t="shared" si="31"/>
        <v>0</v>
      </c>
      <c r="BN16" s="15">
        <f t="shared" si="32"/>
        <v>0</v>
      </c>
      <c r="BO16" s="15">
        <f t="shared" si="33"/>
        <v>0</v>
      </c>
      <c r="BP16" s="15">
        <f t="shared" si="34"/>
        <v>0</v>
      </c>
      <c r="BQ16" s="15">
        <f t="shared" si="35"/>
        <v>0</v>
      </c>
      <c r="BR16" s="15">
        <f t="shared" si="36"/>
        <v>0</v>
      </c>
      <c r="BS16" s="15">
        <f t="shared" si="37"/>
        <v>0</v>
      </c>
      <c r="BT16" s="23">
        <f t="shared" si="38"/>
        <v>8.2416918115983222</v>
      </c>
      <c r="BU16" s="23">
        <f t="shared" si="39"/>
        <v>8</v>
      </c>
      <c r="BV16" s="15">
        <f t="shared" si="40"/>
        <v>5</v>
      </c>
      <c r="BW16" s="15">
        <f t="shared" si="41"/>
        <v>0.29136248703730555</v>
      </c>
      <c r="BX16" s="15">
        <f t="shared" si="42"/>
        <v>0.26883474444742028</v>
      </c>
    </row>
    <row r="17" spans="1:76">
      <c r="A17" s="15">
        <f t="shared" si="43"/>
        <v>6</v>
      </c>
      <c r="B17" s="41">
        <f>'[2]Esaki Haz Calcs'!B11</f>
        <v>1.8100000000000002E-2</v>
      </c>
      <c r="C17" s="41">
        <f t="shared" si="3"/>
        <v>0.9819</v>
      </c>
      <c r="D17" s="41">
        <f t="shared" si="44"/>
        <v>0.91927724877396111</v>
      </c>
      <c r="E17" s="41">
        <f t="shared" si="45"/>
        <v>1.6945634181493734E-2</v>
      </c>
      <c r="F17" s="41">
        <f t="shared" si="4"/>
        <v>0.65379649400827966</v>
      </c>
      <c r="G17" s="41">
        <f t="shared" si="5"/>
        <v>8.0722751226038891E-2</v>
      </c>
      <c r="H17" s="23">
        <f>'ContractCFsExhs1-2'!F18</f>
        <v>8</v>
      </c>
      <c r="I17" s="23">
        <f>'ContractCFsExhs1-2'!E18</f>
        <v>100</v>
      </c>
      <c r="J17" s="23">
        <f>IF('ContractCFsExhs1-2'!A18&lt;'ContractCFsExhs1-2'!$D$7,'E(CFs)30yrs'!H17+'E(CFs)30yrs'!I17,IF('ContractCFsExhs1-2'!A18&gt;'ContractCFsExhs1-2'!$D$7,0,'E(CFs)30yrs'!H17))</f>
        <v>108</v>
      </c>
      <c r="K17" s="51">
        <f t="shared" si="46"/>
        <v>0.6</v>
      </c>
      <c r="L17" s="15">
        <f t="shared" si="6"/>
        <v>0</v>
      </c>
      <c r="M17" s="15">
        <f t="shared" si="6"/>
        <v>0</v>
      </c>
      <c r="N17" s="15">
        <f t="shared" si="6"/>
        <v>0</v>
      </c>
      <c r="O17" s="15">
        <f t="shared" si="6"/>
        <v>0</v>
      </c>
      <c r="P17" s="15">
        <f t="shared" si="6"/>
        <v>0</v>
      </c>
      <c r="Q17" s="15">
        <f t="shared" si="6"/>
        <v>64.8</v>
      </c>
      <c r="R17" s="15">
        <f t="shared" si="6"/>
        <v>8</v>
      </c>
      <c r="S17" s="15">
        <f t="shared" si="6"/>
        <v>8</v>
      </c>
      <c r="T17" s="15">
        <f t="shared" si="6"/>
        <v>8</v>
      </c>
      <c r="U17" s="15">
        <f t="shared" si="6"/>
        <v>8</v>
      </c>
      <c r="V17" s="15">
        <f t="shared" si="6"/>
        <v>0</v>
      </c>
      <c r="W17" s="15">
        <f t="shared" si="6"/>
        <v>0</v>
      </c>
      <c r="X17" s="15">
        <f t="shared" si="6"/>
        <v>0</v>
      </c>
      <c r="Y17" s="15">
        <f t="shared" si="6"/>
        <v>0</v>
      </c>
      <c r="Z17" s="15">
        <f t="shared" si="6"/>
        <v>0</v>
      </c>
      <c r="AA17" s="15">
        <f t="shared" si="6"/>
        <v>0</v>
      </c>
      <c r="AB17" s="15">
        <f t="shared" si="7"/>
        <v>0</v>
      </c>
      <c r="AC17" s="15">
        <f t="shared" si="7"/>
        <v>0</v>
      </c>
      <c r="AD17" s="15">
        <f t="shared" si="7"/>
        <v>0</v>
      </c>
      <c r="AE17" s="15">
        <f t="shared" si="7"/>
        <v>0</v>
      </c>
      <c r="AF17" s="15">
        <f t="shared" si="7"/>
        <v>0</v>
      </c>
      <c r="AG17" s="15">
        <f t="shared" si="7"/>
        <v>0</v>
      </c>
      <c r="AH17" s="15">
        <f t="shared" si="7"/>
        <v>0</v>
      </c>
      <c r="AI17" s="15">
        <f t="shared" si="7"/>
        <v>0</v>
      </c>
      <c r="AJ17" s="15">
        <f t="shared" si="7"/>
        <v>0</v>
      </c>
      <c r="AK17" s="15">
        <f t="shared" si="7"/>
        <v>0</v>
      </c>
      <c r="AL17" s="15">
        <f t="shared" si="7"/>
        <v>0</v>
      </c>
      <c r="AM17" s="15">
        <f t="shared" si="7"/>
        <v>0</v>
      </c>
      <c r="AN17" s="15">
        <f t="shared" si="7"/>
        <v>0</v>
      </c>
      <c r="AO17" s="15">
        <f t="shared" si="7"/>
        <v>0</v>
      </c>
      <c r="AP17" s="46">
        <f t="shared" si="8"/>
        <v>0</v>
      </c>
      <c r="AQ17" s="15">
        <f t="shared" si="9"/>
        <v>0</v>
      </c>
      <c r="AR17" s="15">
        <f t="shared" si="10"/>
        <v>0</v>
      </c>
      <c r="AS17" s="15">
        <f t="shared" si="11"/>
        <v>0</v>
      </c>
      <c r="AT17" s="15">
        <f t="shared" si="12"/>
        <v>0</v>
      </c>
      <c r="AU17" s="15">
        <f t="shared" si="13"/>
        <v>1.0980770949607939</v>
      </c>
      <c r="AV17" s="15">
        <f t="shared" si="14"/>
        <v>0.12208001863718204</v>
      </c>
      <c r="AW17" s="15">
        <f t="shared" si="15"/>
        <v>7.8107090092788684E-2</v>
      </c>
      <c r="AX17" s="15">
        <f t="shared" si="16"/>
        <v>6.8678696462032493E-2</v>
      </c>
      <c r="AY17" s="15">
        <f t="shared" si="17"/>
        <v>5.1014535731997733E-2</v>
      </c>
      <c r="AZ17" s="15">
        <f t="shared" si="18"/>
        <v>0</v>
      </c>
      <c r="BA17" s="15">
        <f t="shared" si="19"/>
        <v>0</v>
      </c>
      <c r="BB17" s="15">
        <f t="shared" si="20"/>
        <v>0</v>
      </c>
      <c r="BC17" s="15">
        <f t="shared" si="21"/>
        <v>0</v>
      </c>
      <c r="BD17" s="15">
        <f t="shared" si="22"/>
        <v>0</v>
      </c>
      <c r="BE17" s="15">
        <f t="shared" si="23"/>
        <v>0</v>
      </c>
      <c r="BF17" s="15">
        <f t="shared" si="24"/>
        <v>0</v>
      </c>
      <c r="BG17" s="15">
        <f t="shared" si="25"/>
        <v>0</v>
      </c>
      <c r="BH17" s="15">
        <f t="shared" si="26"/>
        <v>0</v>
      </c>
      <c r="BI17" s="15">
        <f t="shared" si="27"/>
        <v>0</v>
      </c>
      <c r="BJ17" s="15">
        <f t="shared" si="28"/>
        <v>0</v>
      </c>
      <c r="BK17" s="15">
        <f t="shared" si="29"/>
        <v>0</v>
      </c>
      <c r="BL17" s="15">
        <f t="shared" si="30"/>
        <v>0</v>
      </c>
      <c r="BM17" s="15">
        <f t="shared" si="31"/>
        <v>0</v>
      </c>
      <c r="BN17" s="15">
        <f t="shared" si="32"/>
        <v>0</v>
      </c>
      <c r="BO17" s="15">
        <f t="shared" si="33"/>
        <v>0</v>
      </c>
      <c r="BP17" s="15">
        <f t="shared" si="34"/>
        <v>0</v>
      </c>
      <c r="BQ17" s="15">
        <f t="shared" si="35"/>
        <v>0</v>
      </c>
      <c r="BR17" s="15">
        <f t="shared" si="36"/>
        <v>0</v>
      </c>
      <c r="BS17" s="15">
        <f t="shared" si="37"/>
        <v>0</v>
      </c>
      <c r="BT17" s="23">
        <f t="shared" si="38"/>
        <v>8.173854036484494</v>
      </c>
      <c r="BU17" s="23">
        <f t="shared" si="39"/>
        <v>8</v>
      </c>
      <c r="BV17" s="15">
        <f t="shared" si="40"/>
        <v>6</v>
      </c>
      <c r="BW17" s="15">
        <f t="shared" si="41"/>
        <v>0.32288054690877971</v>
      </c>
      <c r="BX17" s="15">
        <f t="shared" si="42"/>
        <v>0.297357408134727</v>
      </c>
    </row>
    <row r="18" spans="1:76">
      <c r="A18" s="15">
        <f t="shared" si="43"/>
        <v>7</v>
      </c>
      <c r="B18" s="41">
        <f>'[2]Esaki Haz Calcs'!B12</f>
        <v>1.66E-2</v>
      </c>
      <c r="C18" s="41">
        <f t="shared" si="3"/>
        <v>0.98340000000000005</v>
      </c>
      <c r="D18" s="41">
        <f t="shared" si="44"/>
        <v>0.90401724644431336</v>
      </c>
      <c r="E18" s="41">
        <f t="shared" si="45"/>
        <v>1.5260002329647755E-2</v>
      </c>
      <c r="F18" s="41">
        <f t="shared" si="4"/>
        <v>0.68688834937047871</v>
      </c>
      <c r="G18" s="41">
        <f t="shared" si="5"/>
        <v>9.598275355568664E-2</v>
      </c>
      <c r="H18" s="23">
        <f>'ContractCFsExhs1-2'!F19</f>
        <v>8</v>
      </c>
      <c r="I18" s="23">
        <f>'ContractCFsExhs1-2'!E19</f>
        <v>100</v>
      </c>
      <c r="J18" s="23">
        <f>IF('ContractCFsExhs1-2'!A19&lt;'ContractCFsExhs1-2'!$D$7,'E(CFs)30yrs'!H18+'E(CFs)30yrs'!I18,IF('ContractCFsExhs1-2'!A19&gt;'ContractCFsExhs1-2'!$D$7,0,'E(CFs)30yrs'!H18))</f>
        <v>108</v>
      </c>
      <c r="K18" s="51">
        <f t="shared" si="46"/>
        <v>0.6</v>
      </c>
      <c r="L18" s="15">
        <f t="shared" si="6"/>
        <v>0</v>
      </c>
      <c r="M18" s="15">
        <f t="shared" si="6"/>
        <v>0</v>
      </c>
      <c r="N18" s="15">
        <f t="shared" si="6"/>
        <v>0</v>
      </c>
      <c r="O18" s="15">
        <f t="shared" si="6"/>
        <v>0</v>
      </c>
      <c r="P18" s="15">
        <f t="shared" si="6"/>
        <v>0</v>
      </c>
      <c r="Q18" s="15">
        <f t="shared" si="6"/>
        <v>0</v>
      </c>
      <c r="R18" s="15">
        <f t="shared" si="6"/>
        <v>64.8</v>
      </c>
      <c r="S18" s="15">
        <f t="shared" si="6"/>
        <v>8</v>
      </c>
      <c r="T18" s="15">
        <f t="shared" si="6"/>
        <v>8</v>
      </c>
      <c r="U18" s="15">
        <f t="shared" si="6"/>
        <v>8</v>
      </c>
      <c r="V18" s="15">
        <f t="shared" si="6"/>
        <v>0</v>
      </c>
      <c r="W18" s="15">
        <f t="shared" si="6"/>
        <v>0</v>
      </c>
      <c r="X18" s="15">
        <f t="shared" si="6"/>
        <v>0</v>
      </c>
      <c r="Y18" s="15">
        <f t="shared" si="6"/>
        <v>0</v>
      </c>
      <c r="Z18" s="15">
        <f t="shared" si="6"/>
        <v>0</v>
      </c>
      <c r="AA18" s="15">
        <f t="shared" si="6"/>
        <v>0</v>
      </c>
      <c r="AB18" s="15">
        <f t="shared" si="7"/>
        <v>0</v>
      </c>
      <c r="AC18" s="15">
        <f t="shared" si="7"/>
        <v>0</v>
      </c>
      <c r="AD18" s="15">
        <f t="shared" si="7"/>
        <v>0</v>
      </c>
      <c r="AE18" s="15">
        <f t="shared" si="7"/>
        <v>0</v>
      </c>
      <c r="AF18" s="15">
        <f t="shared" si="7"/>
        <v>0</v>
      </c>
      <c r="AG18" s="15">
        <f t="shared" si="7"/>
        <v>0</v>
      </c>
      <c r="AH18" s="15">
        <f t="shared" si="7"/>
        <v>0</v>
      </c>
      <c r="AI18" s="15">
        <f t="shared" si="7"/>
        <v>0</v>
      </c>
      <c r="AJ18" s="15">
        <f t="shared" si="7"/>
        <v>0</v>
      </c>
      <c r="AK18" s="15">
        <f t="shared" si="7"/>
        <v>0</v>
      </c>
      <c r="AL18" s="15">
        <f t="shared" si="7"/>
        <v>0</v>
      </c>
      <c r="AM18" s="15">
        <f t="shared" si="7"/>
        <v>0</v>
      </c>
      <c r="AN18" s="15">
        <f t="shared" si="7"/>
        <v>0</v>
      </c>
      <c r="AO18" s="15">
        <f t="shared" si="7"/>
        <v>0</v>
      </c>
      <c r="AP18" s="46">
        <f t="shared" si="8"/>
        <v>0</v>
      </c>
      <c r="AQ18" s="15">
        <f t="shared" si="9"/>
        <v>0</v>
      </c>
      <c r="AR18" s="15">
        <f t="shared" si="10"/>
        <v>0</v>
      </c>
      <c r="AS18" s="15">
        <f t="shared" si="11"/>
        <v>0</v>
      </c>
      <c r="AT18" s="15">
        <f t="shared" si="12"/>
        <v>0</v>
      </c>
      <c r="AU18" s="15">
        <f t="shared" si="13"/>
        <v>0</v>
      </c>
      <c r="AV18" s="15">
        <f t="shared" si="14"/>
        <v>0.98884815096117451</v>
      </c>
      <c r="AW18" s="15">
        <f t="shared" si="15"/>
        <v>7.8107090092788684E-2</v>
      </c>
      <c r="AX18" s="15">
        <f t="shared" si="16"/>
        <v>6.8678696462032493E-2</v>
      </c>
      <c r="AY18" s="15">
        <f t="shared" si="17"/>
        <v>5.1014535731997733E-2</v>
      </c>
      <c r="AZ18" s="15">
        <f t="shared" si="18"/>
        <v>0</v>
      </c>
      <c r="BA18" s="15">
        <f t="shared" si="19"/>
        <v>0</v>
      </c>
      <c r="BB18" s="15">
        <f t="shared" si="20"/>
        <v>0</v>
      </c>
      <c r="BC18" s="15">
        <f t="shared" si="21"/>
        <v>0</v>
      </c>
      <c r="BD18" s="15">
        <f t="shared" si="22"/>
        <v>0</v>
      </c>
      <c r="BE18" s="15">
        <f t="shared" si="23"/>
        <v>0</v>
      </c>
      <c r="BF18" s="15">
        <f t="shared" si="24"/>
        <v>0</v>
      </c>
      <c r="BG18" s="15">
        <f t="shared" si="25"/>
        <v>0</v>
      </c>
      <c r="BH18" s="15">
        <f t="shared" si="26"/>
        <v>0</v>
      </c>
      <c r="BI18" s="15">
        <f t="shared" si="27"/>
        <v>0</v>
      </c>
      <c r="BJ18" s="15">
        <f t="shared" si="28"/>
        <v>0</v>
      </c>
      <c r="BK18" s="15">
        <f t="shared" si="29"/>
        <v>0</v>
      </c>
      <c r="BL18" s="15">
        <f t="shared" si="30"/>
        <v>0</v>
      </c>
      <c r="BM18" s="15">
        <f t="shared" si="31"/>
        <v>0</v>
      </c>
      <c r="BN18" s="15">
        <f t="shared" si="32"/>
        <v>0</v>
      </c>
      <c r="BO18" s="15">
        <f t="shared" si="33"/>
        <v>0</v>
      </c>
      <c r="BP18" s="15">
        <f t="shared" si="34"/>
        <v>0</v>
      </c>
      <c r="BQ18" s="15">
        <f t="shared" si="35"/>
        <v>0</v>
      </c>
      <c r="BR18" s="15">
        <f t="shared" si="36"/>
        <v>0</v>
      </c>
      <c r="BS18" s="15">
        <f t="shared" si="37"/>
        <v>0</v>
      </c>
      <c r="BT18" s="23">
        <f t="shared" si="38"/>
        <v>7.9425450738476924</v>
      </c>
      <c r="BU18" s="23">
        <f t="shared" si="39"/>
        <v>8</v>
      </c>
      <c r="BV18" s="15">
        <f t="shared" si="40"/>
        <v>7</v>
      </c>
      <c r="BW18" s="15">
        <f t="shared" si="41"/>
        <v>0.34083012269358848</v>
      </c>
      <c r="BX18" s="15">
        <f t="shared" si="42"/>
        <v>0.31976996711019889</v>
      </c>
    </row>
    <row r="19" spans="1:76">
      <c r="A19" s="15">
        <f t="shared" si="43"/>
        <v>8</v>
      </c>
      <c r="B19" s="41">
        <f>'[2]Esaki Haz Calcs'!B13</f>
        <v>1.0800000000000001E-2</v>
      </c>
      <c r="C19" s="41">
        <f t="shared" si="3"/>
        <v>0.98919999999999997</v>
      </c>
      <c r="D19" s="41">
        <f t="shared" si="44"/>
        <v>0.8942538601827148</v>
      </c>
      <c r="E19" s="41">
        <f t="shared" si="45"/>
        <v>9.7633862615985854E-3</v>
      </c>
      <c r="F19" s="41">
        <f t="shared" si="4"/>
        <v>0.50225465266272162</v>
      </c>
      <c r="G19" s="41">
        <f t="shared" si="5"/>
        <v>0.1057461398172852</v>
      </c>
      <c r="H19" s="23">
        <f>'ContractCFsExhs1-2'!F20</f>
        <v>8</v>
      </c>
      <c r="I19" s="23">
        <f>'ContractCFsExhs1-2'!E20</f>
        <v>100</v>
      </c>
      <c r="J19" s="23">
        <f>IF('ContractCFsExhs1-2'!A20&lt;'ContractCFsExhs1-2'!$D$7,'E(CFs)30yrs'!H19+'E(CFs)30yrs'!I19,IF('ContractCFsExhs1-2'!A20&gt;'ContractCFsExhs1-2'!$D$7,0,'E(CFs)30yrs'!H19))</f>
        <v>108</v>
      </c>
      <c r="K19" s="51">
        <f t="shared" si="46"/>
        <v>0.6</v>
      </c>
      <c r="L19" s="15">
        <f t="shared" si="6"/>
        <v>0</v>
      </c>
      <c r="M19" s="15">
        <f t="shared" si="6"/>
        <v>0</v>
      </c>
      <c r="N19" s="15">
        <f t="shared" si="6"/>
        <v>0</v>
      </c>
      <c r="O19" s="15">
        <f t="shared" si="6"/>
        <v>0</v>
      </c>
      <c r="P19" s="15">
        <f t="shared" si="6"/>
        <v>0</v>
      </c>
      <c r="Q19" s="15">
        <f t="shared" si="6"/>
        <v>0</v>
      </c>
      <c r="R19" s="15">
        <f t="shared" si="6"/>
        <v>0</v>
      </c>
      <c r="S19" s="15">
        <f t="shared" si="6"/>
        <v>64.8</v>
      </c>
      <c r="T19" s="15">
        <f t="shared" si="6"/>
        <v>8</v>
      </c>
      <c r="U19" s="15">
        <f t="shared" si="6"/>
        <v>8</v>
      </c>
      <c r="V19" s="15">
        <f t="shared" si="6"/>
        <v>0</v>
      </c>
      <c r="W19" s="15">
        <f t="shared" si="6"/>
        <v>0</v>
      </c>
      <c r="X19" s="15">
        <f t="shared" si="6"/>
        <v>0</v>
      </c>
      <c r="Y19" s="15">
        <f t="shared" si="6"/>
        <v>0</v>
      </c>
      <c r="Z19" s="15">
        <f t="shared" si="6"/>
        <v>0</v>
      </c>
      <c r="AA19" s="15">
        <f t="shared" si="6"/>
        <v>0</v>
      </c>
      <c r="AB19" s="15">
        <f t="shared" si="7"/>
        <v>0</v>
      </c>
      <c r="AC19" s="15">
        <f t="shared" si="7"/>
        <v>0</v>
      </c>
      <c r="AD19" s="15">
        <f t="shared" si="7"/>
        <v>0</v>
      </c>
      <c r="AE19" s="15">
        <f t="shared" si="7"/>
        <v>0</v>
      </c>
      <c r="AF19" s="15">
        <f t="shared" si="7"/>
        <v>0</v>
      </c>
      <c r="AG19" s="15">
        <f t="shared" si="7"/>
        <v>0</v>
      </c>
      <c r="AH19" s="15">
        <f t="shared" si="7"/>
        <v>0</v>
      </c>
      <c r="AI19" s="15">
        <f t="shared" si="7"/>
        <v>0</v>
      </c>
      <c r="AJ19" s="15">
        <f t="shared" si="7"/>
        <v>0</v>
      </c>
      <c r="AK19" s="15">
        <f t="shared" si="7"/>
        <v>0</v>
      </c>
      <c r="AL19" s="15">
        <f t="shared" si="7"/>
        <v>0</v>
      </c>
      <c r="AM19" s="15">
        <f t="shared" si="7"/>
        <v>0</v>
      </c>
      <c r="AN19" s="15">
        <f t="shared" si="7"/>
        <v>0</v>
      </c>
      <c r="AO19" s="15">
        <f t="shared" si="7"/>
        <v>0</v>
      </c>
      <c r="AP19" s="46">
        <f t="shared" si="8"/>
        <v>0</v>
      </c>
      <c r="AQ19" s="15">
        <f t="shared" si="9"/>
        <v>0</v>
      </c>
      <c r="AR19" s="15">
        <f t="shared" si="10"/>
        <v>0</v>
      </c>
      <c r="AS19" s="15">
        <f t="shared" si="11"/>
        <v>0</v>
      </c>
      <c r="AT19" s="15">
        <f t="shared" si="12"/>
        <v>0</v>
      </c>
      <c r="AU19" s="15">
        <f t="shared" si="13"/>
        <v>0</v>
      </c>
      <c r="AV19" s="15">
        <f t="shared" si="14"/>
        <v>0</v>
      </c>
      <c r="AW19" s="15">
        <f t="shared" si="15"/>
        <v>0.63266742975158829</v>
      </c>
      <c r="AX19" s="15">
        <f t="shared" si="16"/>
        <v>6.8678696462032493E-2</v>
      </c>
      <c r="AY19" s="15">
        <f t="shared" si="17"/>
        <v>5.1014535731997733E-2</v>
      </c>
      <c r="AZ19" s="15">
        <f t="shared" si="18"/>
        <v>0</v>
      </c>
      <c r="BA19" s="15">
        <f t="shared" si="19"/>
        <v>0</v>
      </c>
      <c r="BB19" s="15">
        <f t="shared" si="20"/>
        <v>0</v>
      </c>
      <c r="BC19" s="15">
        <f t="shared" si="21"/>
        <v>0</v>
      </c>
      <c r="BD19" s="15">
        <f t="shared" si="22"/>
        <v>0</v>
      </c>
      <c r="BE19" s="15">
        <f t="shared" si="23"/>
        <v>0</v>
      </c>
      <c r="BF19" s="15">
        <f t="shared" si="24"/>
        <v>0</v>
      </c>
      <c r="BG19" s="15">
        <f t="shared" si="25"/>
        <v>0</v>
      </c>
      <c r="BH19" s="15">
        <f t="shared" si="26"/>
        <v>0</v>
      </c>
      <c r="BI19" s="15">
        <f t="shared" si="27"/>
        <v>0</v>
      </c>
      <c r="BJ19" s="15">
        <f t="shared" si="28"/>
        <v>0</v>
      </c>
      <c r="BK19" s="15">
        <f t="shared" si="29"/>
        <v>0</v>
      </c>
      <c r="BL19" s="15">
        <f t="shared" si="30"/>
        <v>0</v>
      </c>
      <c r="BM19" s="15">
        <f t="shared" si="31"/>
        <v>0</v>
      </c>
      <c r="BN19" s="15">
        <f t="shared" si="32"/>
        <v>0</v>
      </c>
      <c r="BO19" s="15">
        <f t="shared" si="33"/>
        <v>0</v>
      </c>
      <c r="BP19" s="15">
        <f t="shared" si="34"/>
        <v>0</v>
      </c>
      <c r="BQ19" s="15">
        <f t="shared" si="35"/>
        <v>0</v>
      </c>
      <c r="BR19" s="15">
        <f t="shared" si="36"/>
        <v>0</v>
      </c>
      <c r="BS19" s="15">
        <f t="shared" si="37"/>
        <v>0</v>
      </c>
      <c r="BT19" s="23">
        <f t="shared" si="38"/>
        <v>7.5082572625453174</v>
      </c>
      <c r="BU19" s="23">
        <f t="shared" si="39"/>
        <v>8</v>
      </c>
      <c r="BV19" s="15">
        <f t="shared" si="40"/>
        <v>8</v>
      </c>
      <c r="BW19" s="15">
        <f t="shared" si="41"/>
        <v>0.34286714066227736</v>
      </c>
      <c r="BX19" s="15">
        <f t="shared" si="42"/>
        <v>0.33685402360387839</v>
      </c>
    </row>
    <row r="20" spans="1:76">
      <c r="A20" s="15">
        <f t="shared" si="43"/>
        <v>9</v>
      </c>
      <c r="B20" s="41">
        <f>'[2]Esaki Haz Calcs'!B14</f>
        <v>9.5999999999999992E-3</v>
      </c>
      <c r="C20" s="41">
        <f t="shared" si="3"/>
        <v>0.99039999999999995</v>
      </c>
      <c r="D20" s="41">
        <f t="shared" si="44"/>
        <v>0.88566902312496065</v>
      </c>
      <c r="E20" s="41">
        <f t="shared" si="45"/>
        <v>8.5848370577540616E-3</v>
      </c>
      <c r="F20" s="41">
        <f t="shared" si="4"/>
        <v>0.4968303024139642</v>
      </c>
      <c r="G20" s="41">
        <f t="shared" si="5"/>
        <v>0.11433097687503935</v>
      </c>
      <c r="H20" s="23">
        <f>'ContractCFsExhs1-2'!F21</f>
        <v>8</v>
      </c>
      <c r="I20" s="23">
        <f>'ContractCFsExhs1-2'!E21</f>
        <v>100</v>
      </c>
      <c r="J20" s="23">
        <f>IF('ContractCFsExhs1-2'!A21&lt;'ContractCFsExhs1-2'!$D$7,'E(CFs)30yrs'!H20+'E(CFs)30yrs'!I20,IF('ContractCFsExhs1-2'!A21&gt;'ContractCFsExhs1-2'!$D$7,0,'E(CFs)30yrs'!H20))</f>
        <v>108</v>
      </c>
      <c r="K20" s="51">
        <f t="shared" si="46"/>
        <v>0.6</v>
      </c>
      <c r="L20" s="15">
        <f t="shared" si="6"/>
        <v>0</v>
      </c>
      <c r="M20" s="15">
        <f t="shared" si="6"/>
        <v>0</v>
      </c>
      <c r="N20" s="15">
        <f t="shared" si="6"/>
        <v>0</v>
      </c>
      <c r="O20" s="15">
        <f t="shared" si="6"/>
        <v>0</v>
      </c>
      <c r="P20" s="15">
        <f t="shared" si="6"/>
        <v>0</v>
      </c>
      <c r="Q20" s="15">
        <f t="shared" si="6"/>
        <v>0</v>
      </c>
      <c r="R20" s="15">
        <f t="shared" si="6"/>
        <v>0</v>
      </c>
      <c r="S20" s="15">
        <f t="shared" si="6"/>
        <v>0</v>
      </c>
      <c r="T20" s="15">
        <f t="shared" si="6"/>
        <v>64.8</v>
      </c>
      <c r="U20" s="15">
        <f t="shared" si="6"/>
        <v>8</v>
      </c>
      <c r="V20" s="15">
        <f t="shared" si="6"/>
        <v>0</v>
      </c>
      <c r="W20" s="15">
        <f t="shared" si="6"/>
        <v>0</v>
      </c>
      <c r="X20" s="15">
        <f t="shared" si="6"/>
        <v>0</v>
      </c>
      <c r="Y20" s="15">
        <f t="shared" si="6"/>
        <v>0</v>
      </c>
      <c r="Z20" s="15">
        <f t="shared" si="6"/>
        <v>0</v>
      </c>
      <c r="AA20" s="15">
        <f t="shared" si="6"/>
        <v>0</v>
      </c>
      <c r="AB20" s="15">
        <f t="shared" si="7"/>
        <v>0</v>
      </c>
      <c r="AC20" s="15">
        <f t="shared" si="7"/>
        <v>0</v>
      </c>
      <c r="AD20" s="15">
        <f t="shared" si="7"/>
        <v>0</v>
      </c>
      <c r="AE20" s="15">
        <f t="shared" si="7"/>
        <v>0</v>
      </c>
      <c r="AF20" s="15">
        <f t="shared" si="7"/>
        <v>0</v>
      </c>
      <c r="AG20" s="15">
        <f t="shared" si="7"/>
        <v>0</v>
      </c>
      <c r="AH20" s="15">
        <f t="shared" si="7"/>
        <v>0</v>
      </c>
      <c r="AI20" s="15">
        <f t="shared" si="7"/>
        <v>0</v>
      </c>
      <c r="AJ20" s="15">
        <f t="shared" si="7"/>
        <v>0</v>
      </c>
      <c r="AK20" s="15">
        <f t="shared" si="7"/>
        <v>0</v>
      </c>
      <c r="AL20" s="15">
        <f t="shared" si="7"/>
        <v>0</v>
      </c>
      <c r="AM20" s="15">
        <f t="shared" si="7"/>
        <v>0</v>
      </c>
      <c r="AN20" s="15">
        <f t="shared" si="7"/>
        <v>0</v>
      </c>
      <c r="AO20" s="15">
        <f t="shared" si="7"/>
        <v>0</v>
      </c>
      <c r="AP20" s="46">
        <f t="shared" si="8"/>
        <v>0</v>
      </c>
      <c r="AQ20" s="15">
        <f t="shared" si="9"/>
        <v>0</v>
      </c>
      <c r="AR20" s="15">
        <f t="shared" si="10"/>
        <v>0</v>
      </c>
      <c r="AS20" s="15">
        <f t="shared" si="11"/>
        <v>0</v>
      </c>
      <c r="AT20" s="15">
        <f t="shared" si="12"/>
        <v>0</v>
      </c>
      <c r="AU20" s="15">
        <f t="shared" si="13"/>
        <v>0</v>
      </c>
      <c r="AV20" s="15">
        <f t="shared" si="14"/>
        <v>0</v>
      </c>
      <c r="AW20" s="15">
        <f t="shared" si="15"/>
        <v>0</v>
      </c>
      <c r="AX20" s="15">
        <f t="shared" si="16"/>
        <v>0.55629744134246317</v>
      </c>
      <c r="AY20" s="15">
        <f t="shared" si="17"/>
        <v>5.1014535731997733E-2</v>
      </c>
      <c r="AZ20" s="15">
        <f t="shared" si="18"/>
        <v>0</v>
      </c>
      <c r="BA20" s="15">
        <f t="shared" si="19"/>
        <v>0</v>
      </c>
      <c r="BB20" s="15">
        <f t="shared" si="20"/>
        <v>0</v>
      </c>
      <c r="BC20" s="15">
        <f t="shared" si="21"/>
        <v>0</v>
      </c>
      <c r="BD20" s="15">
        <f t="shared" si="22"/>
        <v>0</v>
      </c>
      <c r="BE20" s="15">
        <f t="shared" si="23"/>
        <v>0</v>
      </c>
      <c r="BF20" s="15">
        <f t="shared" si="24"/>
        <v>0</v>
      </c>
      <c r="BG20" s="15">
        <f t="shared" si="25"/>
        <v>0</v>
      </c>
      <c r="BH20" s="15">
        <f t="shared" si="26"/>
        <v>0</v>
      </c>
      <c r="BI20" s="15">
        <f t="shared" si="27"/>
        <v>0</v>
      </c>
      <c r="BJ20" s="15">
        <f t="shared" si="28"/>
        <v>0</v>
      </c>
      <c r="BK20" s="15">
        <f t="shared" si="29"/>
        <v>0</v>
      </c>
      <c r="BL20" s="15">
        <f t="shared" si="30"/>
        <v>0</v>
      </c>
      <c r="BM20" s="15">
        <f t="shared" si="31"/>
        <v>0</v>
      </c>
      <c r="BN20" s="15">
        <f t="shared" si="32"/>
        <v>0</v>
      </c>
      <c r="BO20" s="15">
        <f t="shared" si="33"/>
        <v>0</v>
      </c>
      <c r="BP20" s="15">
        <f t="shared" si="34"/>
        <v>0</v>
      </c>
      <c r="BQ20" s="15">
        <f t="shared" si="35"/>
        <v>0</v>
      </c>
      <c r="BR20" s="15">
        <f t="shared" si="36"/>
        <v>0</v>
      </c>
      <c r="BS20" s="15">
        <f t="shared" si="37"/>
        <v>0</v>
      </c>
      <c r="BT20" s="23">
        <f t="shared" si="38"/>
        <v>7.3632085776741594</v>
      </c>
      <c r="BU20" s="23">
        <f t="shared" si="39"/>
        <v>8</v>
      </c>
      <c r="BV20" s="15">
        <f t="shared" si="40"/>
        <v>9</v>
      </c>
      <c r="BW20" s="15">
        <f t="shared" si="41"/>
        <v>0.35222715687058637</v>
      </c>
      <c r="BX20" s="15">
        <f t="shared" si="42"/>
        <v>0.34930627032774469</v>
      </c>
    </row>
    <row r="21" spans="1:76">
      <c r="A21" s="15">
        <f t="shared" si="43"/>
        <v>10</v>
      </c>
      <c r="B21" s="41">
        <f>'[2]Esaki Haz Calcs'!B15</f>
        <v>7.1999999999999998E-3</v>
      </c>
      <c r="C21" s="41">
        <f t="shared" si="3"/>
        <v>0.99280000000000002</v>
      </c>
      <c r="D21" s="41">
        <f t="shared" si="44"/>
        <v>0.87929220615846093</v>
      </c>
      <c r="E21" s="41">
        <f t="shared" si="45"/>
        <v>6.3768169664997166E-3</v>
      </c>
      <c r="F21" s="41">
        <f t="shared" si="4"/>
        <v>0.41005060959232509</v>
      </c>
      <c r="G21" s="41">
        <f t="shared" si="5"/>
        <v>0.12070779384153907</v>
      </c>
      <c r="H21" s="23">
        <f>'ContractCFsExhs1-2'!F22</f>
        <v>113</v>
      </c>
      <c r="I21" s="23">
        <f>'ContractCFsExhs1-2'!E22</f>
        <v>100</v>
      </c>
      <c r="J21" s="23">
        <f>IF('ContractCFsExhs1-2'!A22&lt;'ContractCFsExhs1-2'!$D$7,'E(CFs)30yrs'!H21+'E(CFs)30yrs'!I21,IF('ContractCFsExhs1-2'!A22&gt;'ContractCFsExhs1-2'!$D$7,0,'E(CFs)30yrs'!H21))</f>
        <v>113</v>
      </c>
      <c r="K21" s="51">
        <f t="shared" si="46"/>
        <v>0.6</v>
      </c>
      <c r="L21" s="15">
        <f t="shared" si="6"/>
        <v>0</v>
      </c>
      <c r="M21" s="15">
        <f t="shared" si="6"/>
        <v>0</v>
      </c>
      <c r="N21" s="15">
        <f t="shared" si="6"/>
        <v>0</v>
      </c>
      <c r="O21" s="15">
        <f t="shared" si="6"/>
        <v>0</v>
      </c>
      <c r="P21" s="15">
        <f t="shared" si="6"/>
        <v>0</v>
      </c>
      <c r="Q21" s="15">
        <f t="shared" si="6"/>
        <v>0</v>
      </c>
      <c r="R21" s="15">
        <f t="shared" si="6"/>
        <v>0</v>
      </c>
      <c r="S21" s="15">
        <f t="shared" si="6"/>
        <v>0</v>
      </c>
      <c r="T21" s="15">
        <f t="shared" si="6"/>
        <v>0</v>
      </c>
      <c r="U21" s="15">
        <f t="shared" si="6"/>
        <v>67.8</v>
      </c>
      <c r="V21" s="15">
        <f t="shared" si="6"/>
        <v>0</v>
      </c>
      <c r="W21" s="15">
        <f t="shared" si="6"/>
        <v>0</v>
      </c>
      <c r="X21" s="15">
        <f t="shared" si="6"/>
        <v>0</v>
      </c>
      <c r="Y21" s="15">
        <f t="shared" si="6"/>
        <v>0</v>
      </c>
      <c r="Z21" s="15">
        <f t="shared" si="6"/>
        <v>0</v>
      </c>
      <c r="AA21" s="15">
        <f t="shared" si="6"/>
        <v>0</v>
      </c>
      <c r="AB21" s="15">
        <f t="shared" si="7"/>
        <v>0</v>
      </c>
      <c r="AC21" s="15">
        <f t="shared" si="7"/>
        <v>0</v>
      </c>
      <c r="AD21" s="15">
        <f t="shared" si="7"/>
        <v>0</v>
      </c>
      <c r="AE21" s="15">
        <f t="shared" si="7"/>
        <v>0</v>
      </c>
      <c r="AF21" s="15">
        <f t="shared" si="7"/>
        <v>0</v>
      </c>
      <c r="AG21" s="15">
        <f t="shared" si="7"/>
        <v>0</v>
      </c>
      <c r="AH21" s="15">
        <f t="shared" si="7"/>
        <v>0</v>
      </c>
      <c r="AI21" s="15">
        <f t="shared" si="7"/>
        <v>0</v>
      </c>
      <c r="AJ21" s="15">
        <f t="shared" si="7"/>
        <v>0</v>
      </c>
      <c r="AK21" s="15">
        <f t="shared" si="7"/>
        <v>0</v>
      </c>
      <c r="AL21" s="15">
        <f t="shared" si="7"/>
        <v>0</v>
      </c>
      <c r="AM21" s="15">
        <f t="shared" si="7"/>
        <v>0</v>
      </c>
      <c r="AN21" s="15">
        <f t="shared" si="7"/>
        <v>0</v>
      </c>
      <c r="AO21" s="15">
        <f t="shared" si="7"/>
        <v>0</v>
      </c>
      <c r="AP21" s="46">
        <f t="shared" si="8"/>
        <v>0</v>
      </c>
      <c r="AQ21" s="15">
        <f t="shared" si="9"/>
        <v>0</v>
      </c>
      <c r="AR21" s="15">
        <f t="shared" si="10"/>
        <v>0</v>
      </c>
      <c r="AS21" s="15">
        <f t="shared" si="11"/>
        <v>0</v>
      </c>
      <c r="AT21" s="15">
        <f t="shared" si="12"/>
        <v>0</v>
      </c>
      <c r="AU21" s="15">
        <f t="shared" si="13"/>
        <v>0</v>
      </c>
      <c r="AV21" s="15">
        <f t="shared" si="14"/>
        <v>0</v>
      </c>
      <c r="AW21" s="15">
        <f t="shared" si="15"/>
        <v>0</v>
      </c>
      <c r="AX21" s="15">
        <f t="shared" si="16"/>
        <v>0</v>
      </c>
      <c r="AY21" s="15">
        <f t="shared" si="17"/>
        <v>0.43234819032868077</v>
      </c>
      <c r="AZ21" s="15">
        <f t="shared" si="18"/>
        <v>0</v>
      </c>
      <c r="BA21" s="15">
        <f t="shared" si="19"/>
        <v>0</v>
      </c>
      <c r="BB21" s="15">
        <f t="shared" si="20"/>
        <v>0</v>
      </c>
      <c r="BC21" s="15">
        <f t="shared" si="21"/>
        <v>0</v>
      </c>
      <c r="BD21" s="15">
        <f t="shared" si="22"/>
        <v>0</v>
      </c>
      <c r="BE21" s="15">
        <f t="shared" si="23"/>
        <v>0</v>
      </c>
      <c r="BF21" s="15">
        <f t="shared" si="24"/>
        <v>0</v>
      </c>
      <c r="BG21" s="15">
        <f t="shared" si="25"/>
        <v>0</v>
      </c>
      <c r="BH21" s="15">
        <f t="shared" si="26"/>
        <v>0</v>
      </c>
      <c r="BI21" s="15">
        <f t="shared" si="27"/>
        <v>0</v>
      </c>
      <c r="BJ21" s="15">
        <f t="shared" si="28"/>
        <v>0</v>
      </c>
      <c r="BK21" s="15">
        <f t="shared" si="29"/>
        <v>0</v>
      </c>
      <c r="BL21" s="15">
        <f t="shared" si="30"/>
        <v>0</v>
      </c>
      <c r="BM21" s="15">
        <f t="shared" si="31"/>
        <v>0</v>
      </c>
      <c r="BN21" s="15">
        <f t="shared" si="32"/>
        <v>0</v>
      </c>
      <c r="BO21" s="15">
        <f t="shared" si="33"/>
        <v>0</v>
      </c>
      <c r="BP21" s="15">
        <f t="shared" si="34"/>
        <v>0</v>
      </c>
      <c r="BQ21" s="15">
        <f t="shared" si="35"/>
        <v>0</v>
      </c>
      <c r="BR21" s="15">
        <f t="shared" si="36"/>
        <v>0</v>
      </c>
      <c r="BS21" s="15">
        <f t="shared" si="37"/>
        <v>0</v>
      </c>
      <c r="BT21" s="23">
        <f t="shared" si="38"/>
        <v>95.859387673799432</v>
      </c>
      <c r="BU21" s="23">
        <f t="shared" si="39"/>
        <v>113</v>
      </c>
      <c r="BV21" s="15">
        <f t="shared" si="40"/>
        <v>10</v>
      </c>
      <c r="BW21" s="15">
        <f t="shared" si="41"/>
        <v>4.7442150448321714</v>
      </c>
      <c r="BX21" s="15">
        <f t="shared" si="42"/>
        <v>5.0531762778121365</v>
      </c>
    </row>
    <row r="22" spans="1:76">
      <c r="A22" s="15">
        <f t="shared" si="43"/>
        <v>11</v>
      </c>
      <c r="B22" s="41">
        <f>'[2]Esaki Haz Calcs'!B16</f>
        <v>6.8999999999999999E-3</v>
      </c>
      <c r="C22" s="41">
        <f t="shared" si="3"/>
        <v>0.99309999999999998</v>
      </c>
      <c r="D22" s="41">
        <f t="shared" si="44"/>
        <v>0.87322508993596759</v>
      </c>
      <c r="E22" s="41">
        <f t="shared" si="45"/>
        <v>6.0671162224933805E-3</v>
      </c>
      <c r="F22" s="41">
        <f t="shared" si="4"/>
        <v>0.42914940015177028</v>
      </c>
      <c r="G22" s="41">
        <f t="shared" si="5"/>
        <v>0.12677491006403241</v>
      </c>
      <c r="H22" s="23">
        <f>'ContractCFsExhs1-2'!F23</f>
        <v>0</v>
      </c>
      <c r="I22" s="23">
        <f>'ContractCFsExhs1-2'!E23</f>
        <v>100</v>
      </c>
      <c r="J22" s="23">
        <f>IF('ContractCFsExhs1-2'!A23&lt;'ContractCFsExhs1-2'!$D$7,'E(CFs)30yrs'!H22+'E(CFs)30yrs'!I22,IF('ContractCFsExhs1-2'!A23&gt;'ContractCFsExhs1-2'!$D$7,0,'E(CFs)30yrs'!H22))</f>
        <v>0</v>
      </c>
      <c r="K22" s="51">
        <f t="shared" si="46"/>
        <v>0.6</v>
      </c>
      <c r="L22" s="15">
        <f t="shared" si="6"/>
        <v>0</v>
      </c>
      <c r="M22" s="15">
        <f t="shared" si="6"/>
        <v>0</v>
      </c>
      <c r="N22" s="15">
        <f t="shared" si="6"/>
        <v>0</v>
      </c>
      <c r="O22" s="15">
        <f t="shared" si="6"/>
        <v>0</v>
      </c>
      <c r="P22" s="15">
        <f t="shared" si="6"/>
        <v>0</v>
      </c>
      <c r="Q22" s="15">
        <f t="shared" si="6"/>
        <v>0</v>
      </c>
      <c r="R22" s="15">
        <f t="shared" si="6"/>
        <v>0</v>
      </c>
      <c r="S22" s="15">
        <f t="shared" si="6"/>
        <v>0</v>
      </c>
      <c r="T22" s="15">
        <f t="shared" si="6"/>
        <v>0</v>
      </c>
      <c r="U22" s="15">
        <f t="shared" si="6"/>
        <v>0</v>
      </c>
      <c r="V22" s="15">
        <f t="shared" si="6"/>
        <v>0</v>
      </c>
      <c r="W22" s="15">
        <f t="shared" si="6"/>
        <v>0</v>
      </c>
      <c r="X22" s="15">
        <f t="shared" si="6"/>
        <v>0</v>
      </c>
      <c r="Y22" s="15">
        <f t="shared" si="6"/>
        <v>0</v>
      </c>
      <c r="Z22" s="15">
        <f t="shared" si="6"/>
        <v>0</v>
      </c>
      <c r="AA22" s="15">
        <f t="shared" si="6"/>
        <v>0</v>
      </c>
      <c r="AB22" s="15">
        <f t="shared" si="7"/>
        <v>0</v>
      </c>
      <c r="AC22" s="15">
        <f t="shared" si="7"/>
        <v>0</v>
      </c>
      <c r="AD22" s="15">
        <f t="shared" si="7"/>
        <v>0</v>
      </c>
      <c r="AE22" s="15">
        <f t="shared" si="7"/>
        <v>0</v>
      </c>
      <c r="AF22" s="15">
        <f t="shared" si="7"/>
        <v>0</v>
      </c>
      <c r="AG22" s="15">
        <f t="shared" si="7"/>
        <v>0</v>
      </c>
      <c r="AH22" s="15">
        <f t="shared" si="7"/>
        <v>0</v>
      </c>
      <c r="AI22" s="15">
        <f t="shared" si="7"/>
        <v>0</v>
      </c>
      <c r="AJ22" s="15">
        <f t="shared" si="7"/>
        <v>0</v>
      </c>
      <c r="AK22" s="15">
        <f t="shared" si="7"/>
        <v>0</v>
      </c>
      <c r="AL22" s="15">
        <f t="shared" si="7"/>
        <v>0</v>
      </c>
      <c r="AM22" s="15">
        <f t="shared" si="7"/>
        <v>0</v>
      </c>
      <c r="AN22" s="15">
        <f t="shared" si="7"/>
        <v>0</v>
      </c>
      <c r="AO22" s="15">
        <f t="shared" si="7"/>
        <v>0</v>
      </c>
      <c r="AP22" s="46">
        <f t="shared" si="8"/>
        <v>0</v>
      </c>
      <c r="AQ22" s="15">
        <f t="shared" si="9"/>
        <v>0</v>
      </c>
      <c r="AR22" s="15">
        <f t="shared" si="10"/>
        <v>0</v>
      </c>
      <c r="AS22" s="15">
        <f t="shared" si="11"/>
        <v>0</v>
      </c>
      <c r="AT22" s="15">
        <f t="shared" si="12"/>
        <v>0</v>
      </c>
      <c r="AU22" s="15">
        <f t="shared" si="13"/>
        <v>0</v>
      </c>
      <c r="AV22" s="15">
        <f t="shared" si="14"/>
        <v>0</v>
      </c>
      <c r="AW22" s="15">
        <f t="shared" si="15"/>
        <v>0</v>
      </c>
      <c r="AX22" s="15">
        <f t="shared" si="16"/>
        <v>0</v>
      </c>
      <c r="AY22" s="15">
        <f t="shared" si="17"/>
        <v>0</v>
      </c>
      <c r="AZ22" s="15">
        <f t="shared" si="18"/>
        <v>0</v>
      </c>
      <c r="BA22" s="15">
        <f t="shared" si="19"/>
        <v>0</v>
      </c>
      <c r="BB22" s="15">
        <f t="shared" si="20"/>
        <v>0</v>
      </c>
      <c r="BC22" s="15">
        <f t="shared" si="21"/>
        <v>0</v>
      </c>
      <c r="BD22" s="15">
        <f t="shared" si="22"/>
        <v>0</v>
      </c>
      <c r="BE22" s="15">
        <f t="shared" si="23"/>
        <v>0</v>
      </c>
      <c r="BF22" s="15">
        <f t="shared" si="24"/>
        <v>0</v>
      </c>
      <c r="BG22" s="15">
        <f t="shared" si="25"/>
        <v>0</v>
      </c>
      <c r="BH22" s="15">
        <f t="shared" si="26"/>
        <v>0</v>
      </c>
      <c r="BI22" s="15">
        <f t="shared" si="27"/>
        <v>0</v>
      </c>
      <c r="BJ22" s="15">
        <f t="shared" si="28"/>
        <v>0</v>
      </c>
      <c r="BK22" s="15">
        <f t="shared" si="29"/>
        <v>0</v>
      </c>
      <c r="BL22" s="15">
        <f t="shared" si="30"/>
        <v>0</v>
      </c>
      <c r="BM22" s="15">
        <f t="shared" si="31"/>
        <v>0</v>
      </c>
      <c r="BN22" s="15">
        <f t="shared" si="32"/>
        <v>0</v>
      </c>
      <c r="BO22" s="15">
        <f t="shared" si="33"/>
        <v>0</v>
      </c>
      <c r="BP22" s="15">
        <f t="shared" si="34"/>
        <v>0</v>
      </c>
      <c r="BQ22" s="15">
        <f t="shared" si="35"/>
        <v>0</v>
      </c>
      <c r="BR22" s="15">
        <f t="shared" si="36"/>
        <v>0</v>
      </c>
      <c r="BS22" s="15">
        <f t="shared" si="37"/>
        <v>0</v>
      </c>
      <c r="BT22" s="23">
        <f t="shared" si="38"/>
        <v>0</v>
      </c>
      <c r="BU22" s="23">
        <f t="shared" si="39"/>
        <v>0</v>
      </c>
      <c r="BV22" s="15">
        <f t="shared" si="40"/>
        <v>11</v>
      </c>
      <c r="BW22" s="15">
        <f t="shared" si="41"/>
        <v>0</v>
      </c>
      <c r="BX22" s="15">
        <f t="shared" si="42"/>
        <v>0</v>
      </c>
    </row>
    <row r="23" spans="1:76">
      <c r="A23" s="15">
        <f t="shared" si="43"/>
        <v>12</v>
      </c>
      <c r="B23" s="41">
        <f>'[2]Esaki Haz Calcs'!B17</f>
        <v>5.4999999999999997E-3</v>
      </c>
      <c r="C23" s="41">
        <f t="shared" si="3"/>
        <v>0.99450000000000005</v>
      </c>
      <c r="D23" s="41">
        <f t="shared" si="44"/>
        <v>0.86842235194131978</v>
      </c>
      <c r="E23" s="41">
        <f t="shared" si="45"/>
        <v>4.8027379946478212E-3</v>
      </c>
      <c r="F23" s="41">
        <f t="shared" si="4"/>
        <v>0.37059849503541131</v>
      </c>
      <c r="G23" s="41">
        <f t="shared" si="5"/>
        <v>0.13157764805868022</v>
      </c>
      <c r="H23" s="23">
        <f>'ContractCFsExhs1-2'!F24</f>
        <v>0</v>
      </c>
      <c r="I23" s="23">
        <f>'ContractCFsExhs1-2'!E24</f>
        <v>100</v>
      </c>
      <c r="J23" s="23">
        <f>IF('ContractCFsExhs1-2'!A24&lt;'ContractCFsExhs1-2'!$D$7,'E(CFs)30yrs'!H23+'E(CFs)30yrs'!I23,IF('ContractCFsExhs1-2'!A24&gt;'ContractCFsExhs1-2'!$D$7,0,'E(CFs)30yrs'!H23))</f>
        <v>0</v>
      </c>
      <c r="K23" s="51">
        <f t="shared" si="46"/>
        <v>0.6</v>
      </c>
      <c r="L23" s="15">
        <f t="shared" si="6"/>
        <v>0</v>
      </c>
      <c r="M23" s="15">
        <f t="shared" si="6"/>
        <v>0</v>
      </c>
      <c r="N23" s="15">
        <f t="shared" si="6"/>
        <v>0</v>
      </c>
      <c r="O23" s="15">
        <f t="shared" si="6"/>
        <v>0</v>
      </c>
      <c r="P23" s="15">
        <f t="shared" si="6"/>
        <v>0</v>
      </c>
      <c r="Q23" s="15">
        <f t="shared" si="6"/>
        <v>0</v>
      </c>
      <c r="R23" s="15">
        <f t="shared" si="6"/>
        <v>0</v>
      </c>
      <c r="S23" s="15">
        <f t="shared" si="6"/>
        <v>0</v>
      </c>
      <c r="T23" s="15">
        <f t="shared" si="6"/>
        <v>0</v>
      </c>
      <c r="U23" s="15">
        <f t="shared" si="6"/>
        <v>0</v>
      </c>
      <c r="V23" s="15">
        <f t="shared" si="6"/>
        <v>0</v>
      </c>
      <c r="W23" s="15">
        <f t="shared" si="6"/>
        <v>0</v>
      </c>
      <c r="X23" s="15">
        <f t="shared" si="6"/>
        <v>0</v>
      </c>
      <c r="Y23" s="15">
        <f t="shared" si="6"/>
        <v>0</v>
      </c>
      <c r="Z23" s="15">
        <f t="shared" si="6"/>
        <v>0</v>
      </c>
      <c r="AA23" s="15">
        <f t="shared" si="6"/>
        <v>0</v>
      </c>
      <c r="AB23" s="15">
        <f t="shared" si="7"/>
        <v>0</v>
      </c>
      <c r="AC23" s="15">
        <f t="shared" si="7"/>
        <v>0</v>
      </c>
      <c r="AD23" s="15">
        <f t="shared" si="7"/>
        <v>0</v>
      </c>
      <c r="AE23" s="15">
        <f t="shared" si="7"/>
        <v>0</v>
      </c>
      <c r="AF23" s="15">
        <f t="shared" si="7"/>
        <v>0</v>
      </c>
      <c r="AG23" s="15">
        <f t="shared" si="7"/>
        <v>0</v>
      </c>
      <c r="AH23" s="15">
        <f t="shared" si="7"/>
        <v>0</v>
      </c>
      <c r="AI23" s="15">
        <f t="shared" si="7"/>
        <v>0</v>
      </c>
      <c r="AJ23" s="15">
        <f t="shared" si="7"/>
        <v>0</v>
      </c>
      <c r="AK23" s="15">
        <f t="shared" si="7"/>
        <v>0</v>
      </c>
      <c r="AL23" s="15">
        <f t="shared" si="7"/>
        <v>0</v>
      </c>
      <c r="AM23" s="15">
        <f t="shared" si="7"/>
        <v>0</v>
      </c>
      <c r="AN23" s="15">
        <f t="shared" si="7"/>
        <v>0</v>
      </c>
      <c r="AO23" s="15">
        <f t="shared" si="7"/>
        <v>0</v>
      </c>
      <c r="AP23" s="46">
        <f t="shared" si="8"/>
        <v>0</v>
      </c>
      <c r="AQ23" s="15">
        <f t="shared" si="9"/>
        <v>0</v>
      </c>
      <c r="AR23" s="15">
        <f t="shared" si="10"/>
        <v>0</v>
      </c>
      <c r="AS23" s="15">
        <f t="shared" si="11"/>
        <v>0</v>
      </c>
      <c r="AT23" s="15">
        <f t="shared" si="12"/>
        <v>0</v>
      </c>
      <c r="AU23" s="15">
        <f t="shared" si="13"/>
        <v>0</v>
      </c>
      <c r="AV23" s="15">
        <f t="shared" si="14"/>
        <v>0</v>
      </c>
      <c r="AW23" s="15">
        <f t="shared" si="15"/>
        <v>0</v>
      </c>
      <c r="AX23" s="15">
        <f t="shared" si="16"/>
        <v>0</v>
      </c>
      <c r="AY23" s="15">
        <f t="shared" si="17"/>
        <v>0</v>
      </c>
      <c r="AZ23" s="15">
        <f t="shared" si="18"/>
        <v>0</v>
      </c>
      <c r="BA23" s="15">
        <f t="shared" si="19"/>
        <v>0</v>
      </c>
      <c r="BB23" s="15">
        <f t="shared" si="20"/>
        <v>0</v>
      </c>
      <c r="BC23" s="15">
        <f t="shared" si="21"/>
        <v>0</v>
      </c>
      <c r="BD23" s="15">
        <f t="shared" si="22"/>
        <v>0</v>
      </c>
      <c r="BE23" s="15">
        <f t="shared" si="23"/>
        <v>0</v>
      </c>
      <c r="BF23" s="15">
        <f t="shared" si="24"/>
        <v>0</v>
      </c>
      <c r="BG23" s="15">
        <f t="shared" si="25"/>
        <v>0</v>
      </c>
      <c r="BH23" s="15">
        <f t="shared" si="26"/>
        <v>0</v>
      </c>
      <c r="BI23" s="15">
        <f t="shared" si="27"/>
        <v>0</v>
      </c>
      <c r="BJ23" s="15">
        <f t="shared" si="28"/>
        <v>0</v>
      </c>
      <c r="BK23" s="15">
        <f t="shared" si="29"/>
        <v>0</v>
      </c>
      <c r="BL23" s="15">
        <f t="shared" si="30"/>
        <v>0</v>
      </c>
      <c r="BM23" s="15">
        <f t="shared" si="31"/>
        <v>0</v>
      </c>
      <c r="BN23" s="15">
        <f t="shared" si="32"/>
        <v>0</v>
      </c>
      <c r="BO23" s="15">
        <f t="shared" si="33"/>
        <v>0</v>
      </c>
      <c r="BP23" s="15">
        <f t="shared" si="34"/>
        <v>0</v>
      </c>
      <c r="BQ23" s="15">
        <f t="shared" si="35"/>
        <v>0</v>
      </c>
      <c r="BR23" s="15">
        <f t="shared" si="36"/>
        <v>0</v>
      </c>
      <c r="BS23" s="15">
        <f t="shared" si="37"/>
        <v>0</v>
      </c>
      <c r="BT23" s="23">
        <f t="shared" si="38"/>
        <v>0</v>
      </c>
      <c r="BU23" s="23">
        <f t="shared" si="39"/>
        <v>0</v>
      </c>
      <c r="BV23" s="15">
        <f t="shared" si="40"/>
        <v>12</v>
      </c>
      <c r="BW23" s="15">
        <f t="shared" si="41"/>
        <v>0</v>
      </c>
      <c r="BX23" s="15">
        <f t="shared" si="42"/>
        <v>0</v>
      </c>
    </row>
    <row r="24" spans="1:76">
      <c r="A24" s="15">
        <f t="shared" si="43"/>
        <v>13</v>
      </c>
      <c r="B24" s="41">
        <f>'[2]Esaki Haz Calcs'!B18</f>
        <v>5.1000000000000004E-3</v>
      </c>
      <c r="C24" s="41">
        <f t="shared" si="3"/>
        <v>0.99490000000000001</v>
      </c>
      <c r="D24" s="41">
        <f t="shared" si="44"/>
        <v>0.86399339794641905</v>
      </c>
      <c r="E24" s="41">
        <f t="shared" si="45"/>
        <v>4.4289539949007315E-3</v>
      </c>
      <c r="F24" s="41">
        <f t="shared" si="4"/>
        <v>0.37023547696413811</v>
      </c>
      <c r="G24" s="41">
        <f t="shared" si="5"/>
        <v>0.13600660205358095</v>
      </c>
      <c r="H24" s="23">
        <f>'ContractCFsExhs1-2'!F25</f>
        <v>0</v>
      </c>
      <c r="I24" s="23">
        <f>'ContractCFsExhs1-2'!E25</f>
        <v>100</v>
      </c>
      <c r="J24" s="23">
        <f>IF('ContractCFsExhs1-2'!A25&lt;'ContractCFsExhs1-2'!$D$7,'E(CFs)30yrs'!H24+'E(CFs)30yrs'!I24,IF('ContractCFsExhs1-2'!A25&gt;'ContractCFsExhs1-2'!$D$7,0,'E(CFs)30yrs'!H24))</f>
        <v>0</v>
      </c>
      <c r="K24" s="51">
        <f t="shared" si="46"/>
        <v>0.6</v>
      </c>
      <c r="L24" s="15">
        <f t="shared" si="6"/>
        <v>0</v>
      </c>
      <c r="M24" s="15">
        <f t="shared" si="6"/>
        <v>0</v>
      </c>
      <c r="N24" s="15">
        <f t="shared" si="6"/>
        <v>0</v>
      </c>
      <c r="O24" s="15">
        <f t="shared" si="6"/>
        <v>0</v>
      </c>
      <c r="P24" s="15">
        <f t="shared" si="6"/>
        <v>0</v>
      </c>
      <c r="Q24" s="15">
        <f t="shared" si="6"/>
        <v>0</v>
      </c>
      <c r="R24" s="15">
        <f t="shared" si="6"/>
        <v>0</v>
      </c>
      <c r="S24" s="15">
        <f t="shared" si="6"/>
        <v>0</v>
      </c>
      <c r="T24" s="15">
        <f t="shared" si="6"/>
        <v>0</v>
      </c>
      <c r="U24" s="15">
        <f t="shared" si="6"/>
        <v>0</v>
      </c>
      <c r="V24" s="15">
        <f t="shared" si="6"/>
        <v>0</v>
      </c>
      <c r="W24" s="15">
        <f t="shared" si="6"/>
        <v>0</v>
      </c>
      <c r="X24" s="15">
        <f t="shared" si="6"/>
        <v>0</v>
      </c>
      <c r="Y24" s="15">
        <f t="shared" si="6"/>
        <v>0</v>
      </c>
      <c r="Z24" s="15">
        <f t="shared" si="6"/>
        <v>0</v>
      </c>
      <c r="AA24" s="15">
        <f t="shared" si="6"/>
        <v>0</v>
      </c>
      <c r="AB24" s="15">
        <f t="shared" si="7"/>
        <v>0</v>
      </c>
      <c r="AC24" s="15">
        <f t="shared" si="7"/>
        <v>0</v>
      </c>
      <c r="AD24" s="15">
        <f t="shared" si="7"/>
        <v>0</v>
      </c>
      <c r="AE24" s="15">
        <f t="shared" si="7"/>
        <v>0</v>
      </c>
      <c r="AF24" s="15">
        <f t="shared" si="7"/>
        <v>0</v>
      </c>
      <c r="AG24" s="15">
        <f t="shared" si="7"/>
        <v>0</v>
      </c>
      <c r="AH24" s="15">
        <f t="shared" si="7"/>
        <v>0</v>
      </c>
      <c r="AI24" s="15">
        <f t="shared" si="7"/>
        <v>0</v>
      </c>
      <c r="AJ24" s="15">
        <f t="shared" si="7"/>
        <v>0</v>
      </c>
      <c r="AK24" s="15">
        <f t="shared" si="7"/>
        <v>0</v>
      </c>
      <c r="AL24" s="15">
        <f t="shared" si="7"/>
        <v>0</v>
      </c>
      <c r="AM24" s="15">
        <f t="shared" si="7"/>
        <v>0</v>
      </c>
      <c r="AN24" s="15">
        <f t="shared" si="7"/>
        <v>0</v>
      </c>
      <c r="AO24" s="15">
        <f t="shared" si="7"/>
        <v>0</v>
      </c>
      <c r="AP24" s="46">
        <f t="shared" si="8"/>
        <v>0</v>
      </c>
      <c r="AQ24" s="15">
        <f t="shared" si="9"/>
        <v>0</v>
      </c>
      <c r="AR24" s="15">
        <f t="shared" si="10"/>
        <v>0</v>
      </c>
      <c r="AS24" s="15">
        <f t="shared" si="11"/>
        <v>0</v>
      </c>
      <c r="AT24" s="15">
        <f t="shared" si="12"/>
        <v>0</v>
      </c>
      <c r="AU24" s="15">
        <f t="shared" si="13"/>
        <v>0</v>
      </c>
      <c r="AV24" s="15">
        <f t="shared" si="14"/>
        <v>0</v>
      </c>
      <c r="AW24" s="15">
        <f t="shared" si="15"/>
        <v>0</v>
      </c>
      <c r="AX24" s="15">
        <f t="shared" si="16"/>
        <v>0</v>
      </c>
      <c r="AY24" s="15">
        <f t="shared" si="17"/>
        <v>0</v>
      </c>
      <c r="AZ24" s="15">
        <f t="shared" si="18"/>
        <v>0</v>
      </c>
      <c r="BA24" s="15">
        <f t="shared" si="19"/>
        <v>0</v>
      </c>
      <c r="BB24" s="15">
        <f t="shared" si="20"/>
        <v>0</v>
      </c>
      <c r="BC24" s="15">
        <f t="shared" si="21"/>
        <v>0</v>
      </c>
      <c r="BD24" s="15">
        <f t="shared" si="22"/>
        <v>0</v>
      </c>
      <c r="BE24" s="15">
        <f t="shared" si="23"/>
        <v>0</v>
      </c>
      <c r="BF24" s="15">
        <f t="shared" si="24"/>
        <v>0</v>
      </c>
      <c r="BG24" s="15">
        <f t="shared" si="25"/>
        <v>0</v>
      </c>
      <c r="BH24" s="15">
        <f t="shared" si="26"/>
        <v>0</v>
      </c>
      <c r="BI24" s="15">
        <f t="shared" si="27"/>
        <v>0</v>
      </c>
      <c r="BJ24" s="15">
        <f t="shared" si="28"/>
        <v>0</v>
      </c>
      <c r="BK24" s="15">
        <f t="shared" si="29"/>
        <v>0</v>
      </c>
      <c r="BL24" s="15">
        <f t="shared" si="30"/>
        <v>0</v>
      </c>
      <c r="BM24" s="15">
        <f t="shared" si="31"/>
        <v>0</v>
      </c>
      <c r="BN24" s="15">
        <f t="shared" si="32"/>
        <v>0</v>
      </c>
      <c r="BO24" s="15">
        <f t="shared" si="33"/>
        <v>0</v>
      </c>
      <c r="BP24" s="15">
        <f t="shared" si="34"/>
        <v>0</v>
      </c>
      <c r="BQ24" s="15">
        <f t="shared" si="35"/>
        <v>0</v>
      </c>
      <c r="BR24" s="15">
        <f t="shared" si="36"/>
        <v>0</v>
      </c>
      <c r="BS24" s="15">
        <f t="shared" si="37"/>
        <v>0</v>
      </c>
      <c r="BT24" s="23">
        <f t="shared" si="38"/>
        <v>0</v>
      </c>
      <c r="BU24" s="23">
        <f t="shared" si="39"/>
        <v>0</v>
      </c>
      <c r="BV24" s="15">
        <f t="shared" si="40"/>
        <v>13</v>
      </c>
      <c r="BW24" s="15">
        <f t="shared" si="41"/>
        <v>0</v>
      </c>
      <c r="BX24" s="15">
        <f t="shared" si="42"/>
        <v>0</v>
      </c>
    </row>
    <row r="25" spans="1:76">
      <c r="A25" s="15">
        <f t="shared" si="43"/>
        <v>14</v>
      </c>
      <c r="B25" s="41">
        <f>'[2]Esaki Haz Calcs'!B19</f>
        <v>4.3E-3</v>
      </c>
      <c r="C25" s="41">
        <f t="shared" si="3"/>
        <v>0.99570000000000003</v>
      </c>
      <c r="D25" s="41">
        <f t="shared" si="44"/>
        <v>0.86027822633524953</v>
      </c>
      <c r="E25" s="41">
        <f t="shared" si="45"/>
        <v>3.7151716111696021E-3</v>
      </c>
      <c r="F25" s="41">
        <f t="shared" si="4"/>
        <v>0.33445710433037079</v>
      </c>
      <c r="G25" s="41">
        <f t="shared" si="5"/>
        <v>0.13972177366475047</v>
      </c>
      <c r="H25" s="23">
        <f>'ContractCFsExhs1-2'!F26</f>
        <v>0</v>
      </c>
      <c r="I25" s="23">
        <f>'ContractCFsExhs1-2'!E26</f>
        <v>100</v>
      </c>
      <c r="J25" s="23">
        <f>IF('ContractCFsExhs1-2'!A26&lt;'ContractCFsExhs1-2'!$D$7,'E(CFs)30yrs'!H25+'E(CFs)30yrs'!I25,IF('ContractCFsExhs1-2'!A26&gt;'ContractCFsExhs1-2'!$D$7,0,'E(CFs)30yrs'!H25))</f>
        <v>0</v>
      </c>
      <c r="K25" s="51">
        <f t="shared" si="46"/>
        <v>0.6</v>
      </c>
      <c r="L25" s="15">
        <f t="shared" si="6"/>
        <v>0</v>
      </c>
      <c r="M25" s="15">
        <f t="shared" si="6"/>
        <v>0</v>
      </c>
      <c r="N25" s="15">
        <f t="shared" si="6"/>
        <v>0</v>
      </c>
      <c r="O25" s="15">
        <f t="shared" si="6"/>
        <v>0</v>
      </c>
      <c r="P25" s="15">
        <f t="shared" si="6"/>
        <v>0</v>
      </c>
      <c r="Q25" s="15">
        <f t="shared" si="6"/>
        <v>0</v>
      </c>
      <c r="R25" s="15">
        <f t="shared" si="6"/>
        <v>0</v>
      </c>
      <c r="S25" s="15">
        <f t="shared" si="6"/>
        <v>0</v>
      </c>
      <c r="T25" s="15">
        <f t="shared" si="6"/>
        <v>0</v>
      </c>
      <c r="U25" s="15">
        <f t="shared" si="6"/>
        <v>0</v>
      </c>
      <c r="V25" s="15">
        <f t="shared" si="6"/>
        <v>0</v>
      </c>
      <c r="W25" s="15">
        <f t="shared" si="6"/>
        <v>0</v>
      </c>
      <c r="X25" s="15">
        <f t="shared" si="6"/>
        <v>0</v>
      </c>
      <c r="Y25" s="15">
        <f t="shared" si="6"/>
        <v>0</v>
      </c>
      <c r="Z25" s="15">
        <f t="shared" si="6"/>
        <v>0</v>
      </c>
      <c r="AA25" s="15">
        <f t="shared" si="6"/>
        <v>0</v>
      </c>
      <c r="AB25" s="15">
        <f t="shared" si="7"/>
        <v>0</v>
      </c>
      <c r="AC25" s="15">
        <f t="shared" si="7"/>
        <v>0</v>
      </c>
      <c r="AD25" s="15">
        <f t="shared" si="7"/>
        <v>0</v>
      </c>
      <c r="AE25" s="15">
        <f t="shared" si="7"/>
        <v>0</v>
      </c>
      <c r="AF25" s="15">
        <f t="shared" si="7"/>
        <v>0</v>
      </c>
      <c r="AG25" s="15">
        <f t="shared" si="7"/>
        <v>0</v>
      </c>
      <c r="AH25" s="15">
        <f t="shared" si="7"/>
        <v>0</v>
      </c>
      <c r="AI25" s="15">
        <f t="shared" si="7"/>
        <v>0</v>
      </c>
      <c r="AJ25" s="15">
        <f t="shared" si="7"/>
        <v>0</v>
      </c>
      <c r="AK25" s="15">
        <f t="shared" si="7"/>
        <v>0</v>
      </c>
      <c r="AL25" s="15">
        <f t="shared" si="7"/>
        <v>0</v>
      </c>
      <c r="AM25" s="15">
        <f t="shared" si="7"/>
        <v>0</v>
      </c>
      <c r="AN25" s="15">
        <f t="shared" si="7"/>
        <v>0</v>
      </c>
      <c r="AO25" s="15">
        <f t="shared" si="7"/>
        <v>0</v>
      </c>
      <c r="AP25" s="46">
        <f t="shared" si="8"/>
        <v>0</v>
      </c>
      <c r="AQ25" s="15">
        <f t="shared" si="9"/>
        <v>0</v>
      </c>
      <c r="AR25" s="15">
        <f t="shared" si="10"/>
        <v>0</v>
      </c>
      <c r="AS25" s="15">
        <f t="shared" si="11"/>
        <v>0</v>
      </c>
      <c r="AT25" s="15">
        <f t="shared" si="12"/>
        <v>0</v>
      </c>
      <c r="AU25" s="15">
        <f t="shared" si="13"/>
        <v>0</v>
      </c>
      <c r="AV25" s="15">
        <f t="shared" si="14"/>
        <v>0</v>
      </c>
      <c r="AW25" s="15">
        <f t="shared" si="15"/>
        <v>0</v>
      </c>
      <c r="AX25" s="15">
        <f t="shared" si="16"/>
        <v>0</v>
      </c>
      <c r="AY25" s="15">
        <f t="shared" si="17"/>
        <v>0</v>
      </c>
      <c r="AZ25" s="15">
        <f t="shared" si="18"/>
        <v>0</v>
      </c>
      <c r="BA25" s="15">
        <f t="shared" si="19"/>
        <v>0</v>
      </c>
      <c r="BB25" s="15">
        <f t="shared" si="20"/>
        <v>0</v>
      </c>
      <c r="BC25" s="15">
        <f t="shared" si="21"/>
        <v>0</v>
      </c>
      <c r="BD25" s="15">
        <f t="shared" si="22"/>
        <v>0</v>
      </c>
      <c r="BE25" s="15">
        <f t="shared" si="23"/>
        <v>0</v>
      </c>
      <c r="BF25" s="15">
        <f t="shared" si="24"/>
        <v>0</v>
      </c>
      <c r="BG25" s="15">
        <f t="shared" si="25"/>
        <v>0</v>
      </c>
      <c r="BH25" s="15">
        <f t="shared" si="26"/>
        <v>0</v>
      </c>
      <c r="BI25" s="15">
        <f t="shared" si="27"/>
        <v>0</v>
      </c>
      <c r="BJ25" s="15">
        <f t="shared" si="28"/>
        <v>0</v>
      </c>
      <c r="BK25" s="15">
        <f t="shared" si="29"/>
        <v>0</v>
      </c>
      <c r="BL25" s="15">
        <f t="shared" si="30"/>
        <v>0</v>
      </c>
      <c r="BM25" s="15">
        <f t="shared" si="31"/>
        <v>0</v>
      </c>
      <c r="BN25" s="15">
        <f t="shared" si="32"/>
        <v>0</v>
      </c>
      <c r="BO25" s="15">
        <f t="shared" si="33"/>
        <v>0</v>
      </c>
      <c r="BP25" s="15">
        <f t="shared" si="34"/>
        <v>0</v>
      </c>
      <c r="BQ25" s="15">
        <f t="shared" si="35"/>
        <v>0</v>
      </c>
      <c r="BR25" s="15">
        <f t="shared" si="36"/>
        <v>0</v>
      </c>
      <c r="BS25" s="15">
        <f t="shared" si="37"/>
        <v>0</v>
      </c>
      <c r="BT25" s="23">
        <f t="shared" si="38"/>
        <v>0</v>
      </c>
      <c r="BU25" s="23">
        <f t="shared" si="39"/>
        <v>0</v>
      </c>
      <c r="BV25" s="15">
        <f t="shared" si="40"/>
        <v>14</v>
      </c>
      <c r="BW25" s="15">
        <f t="shared" si="41"/>
        <v>0</v>
      </c>
      <c r="BX25" s="15">
        <f t="shared" si="42"/>
        <v>0</v>
      </c>
    </row>
    <row r="26" spans="1:76">
      <c r="A26" s="15">
        <f t="shared" si="43"/>
        <v>15</v>
      </c>
      <c r="B26" s="41">
        <f>'[2]Esaki Haz Calcs'!B20</f>
        <v>3.0999999999999999E-3</v>
      </c>
      <c r="C26" s="41">
        <f t="shared" si="3"/>
        <v>0.99690000000000001</v>
      </c>
      <c r="D26" s="41">
        <f t="shared" si="44"/>
        <v>0.85761136383361025</v>
      </c>
      <c r="E26" s="41">
        <f t="shared" si="45"/>
        <v>2.6668625016392734E-3</v>
      </c>
      <c r="F26" s="41">
        <f t="shared" si="4"/>
        <v>0.25723223676663431</v>
      </c>
      <c r="G26" s="41">
        <f t="shared" si="5"/>
        <v>0.14238863616638975</v>
      </c>
      <c r="H26" s="23">
        <f>'ContractCFsExhs1-2'!F27</f>
        <v>0</v>
      </c>
      <c r="I26" s="23">
        <f>'ContractCFsExhs1-2'!E27</f>
        <v>100</v>
      </c>
      <c r="J26" s="23">
        <f>IF('ContractCFsExhs1-2'!A27&lt;'ContractCFsExhs1-2'!$D$7,'E(CFs)30yrs'!H26+'E(CFs)30yrs'!I26,IF('ContractCFsExhs1-2'!A27&gt;'ContractCFsExhs1-2'!$D$7,0,'E(CFs)30yrs'!H26))</f>
        <v>0</v>
      </c>
      <c r="K26" s="51">
        <f t="shared" si="46"/>
        <v>0.6</v>
      </c>
      <c r="L26" s="15">
        <f t="shared" si="6"/>
        <v>0</v>
      </c>
      <c r="M26" s="15">
        <f t="shared" si="6"/>
        <v>0</v>
      </c>
      <c r="N26" s="15">
        <f t="shared" si="6"/>
        <v>0</v>
      </c>
      <c r="O26" s="15">
        <f t="shared" si="6"/>
        <v>0</v>
      </c>
      <c r="P26" s="15">
        <f t="shared" si="6"/>
        <v>0</v>
      </c>
      <c r="Q26" s="15">
        <f t="shared" si="6"/>
        <v>0</v>
      </c>
      <c r="R26" s="15">
        <f t="shared" si="6"/>
        <v>0</v>
      </c>
      <c r="S26" s="15">
        <f t="shared" si="6"/>
        <v>0</v>
      </c>
      <c r="T26" s="15">
        <f t="shared" si="6"/>
        <v>0</v>
      </c>
      <c r="U26" s="15">
        <f t="shared" si="6"/>
        <v>0</v>
      </c>
      <c r="V26" s="15">
        <f t="shared" si="6"/>
        <v>0</v>
      </c>
      <c r="W26" s="15">
        <f t="shared" si="6"/>
        <v>0</v>
      </c>
      <c r="X26" s="15">
        <f t="shared" si="6"/>
        <v>0</v>
      </c>
      <c r="Y26" s="15">
        <f t="shared" si="6"/>
        <v>0</v>
      </c>
      <c r="Z26" s="15">
        <f t="shared" si="6"/>
        <v>0</v>
      </c>
      <c r="AA26" s="15">
        <f t="shared" si="6"/>
        <v>0</v>
      </c>
      <c r="AB26" s="15">
        <f t="shared" si="7"/>
        <v>0</v>
      </c>
      <c r="AC26" s="15">
        <f t="shared" si="7"/>
        <v>0</v>
      </c>
      <c r="AD26" s="15">
        <f t="shared" si="7"/>
        <v>0</v>
      </c>
      <c r="AE26" s="15">
        <f t="shared" si="7"/>
        <v>0</v>
      </c>
      <c r="AF26" s="15">
        <f t="shared" si="7"/>
        <v>0</v>
      </c>
      <c r="AG26" s="15">
        <f t="shared" si="7"/>
        <v>0</v>
      </c>
      <c r="AH26" s="15">
        <f t="shared" si="7"/>
        <v>0</v>
      </c>
      <c r="AI26" s="15">
        <f t="shared" si="7"/>
        <v>0</v>
      </c>
      <c r="AJ26" s="15">
        <f t="shared" si="7"/>
        <v>0</v>
      </c>
      <c r="AK26" s="15">
        <f t="shared" si="7"/>
        <v>0</v>
      </c>
      <c r="AL26" s="15">
        <f t="shared" si="7"/>
        <v>0</v>
      </c>
      <c r="AM26" s="15">
        <f t="shared" si="7"/>
        <v>0</v>
      </c>
      <c r="AN26" s="15">
        <f t="shared" si="7"/>
        <v>0</v>
      </c>
      <c r="AO26" s="15">
        <f t="shared" si="7"/>
        <v>0</v>
      </c>
      <c r="AP26" s="46">
        <f t="shared" si="8"/>
        <v>0</v>
      </c>
      <c r="AQ26" s="15">
        <f t="shared" si="9"/>
        <v>0</v>
      </c>
      <c r="AR26" s="15">
        <f t="shared" si="10"/>
        <v>0</v>
      </c>
      <c r="AS26" s="15">
        <f t="shared" si="11"/>
        <v>0</v>
      </c>
      <c r="AT26" s="15">
        <f t="shared" si="12"/>
        <v>0</v>
      </c>
      <c r="AU26" s="15">
        <f t="shared" si="13"/>
        <v>0</v>
      </c>
      <c r="AV26" s="15">
        <f t="shared" si="14"/>
        <v>0</v>
      </c>
      <c r="AW26" s="15">
        <f t="shared" si="15"/>
        <v>0</v>
      </c>
      <c r="AX26" s="15">
        <f t="shared" si="16"/>
        <v>0</v>
      </c>
      <c r="AY26" s="15">
        <f t="shared" si="17"/>
        <v>0</v>
      </c>
      <c r="AZ26" s="15">
        <f t="shared" si="18"/>
        <v>0</v>
      </c>
      <c r="BA26" s="15">
        <f t="shared" si="19"/>
        <v>0</v>
      </c>
      <c r="BB26" s="15">
        <f t="shared" si="20"/>
        <v>0</v>
      </c>
      <c r="BC26" s="15">
        <f t="shared" si="21"/>
        <v>0</v>
      </c>
      <c r="BD26" s="15">
        <f t="shared" si="22"/>
        <v>0</v>
      </c>
      <c r="BE26" s="15">
        <f t="shared" si="23"/>
        <v>0</v>
      </c>
      <c r="BF26" s="15">
        <f t="shared" si="24"/>
        <v>0</v>
      </c>
      <c r="BG26" s="15">
        <f t="shared" si="25"/>
        <v>0</v>
      </c>
      <c r="BH26" s="15">
        <f t="shared" si="26"/>
        <v>0</v>
      </c>
      <c r="BI26" s="15">
        <f t="shared" si="27"/>
        <v>0</v>
      </c>
      <c r="BJ26" s="15">
        <f t="shared" si="28"/>
        <v>0</v>
      </c>
      <c r="BK26" s="15">
        <f t="shared" si="29"/>
        <v>0</v>
      </c>
      <c r="BL26" s="15">
        <f t="shared" si="30"/>
        <v>0</v>
      </c>
      <c r="BM26" s="15">
        <f t="shared" si="31"/>
        <v>0</v>
      </c>
      <c r="BN26" s="15">
        <f t="shared" si="32"/>
        <v>0</v>
      </c>
      <c r="BO26" s="15">
        <f t="shared" si="33"/>
        <v>0</v>
      </c>
      <c r="BP26" s="15">
        <f t="shared" si="34"/>
        <v>0</v>
      </c>
      <c r="BQ26" s="15">
        <f t="shared" si="35"/>
        <v>0</v>
      </c>
      <c r="BR26" s="15">
        <f t="shared" si="36"/>
        <v>0</v>
      </c>
      <c r="BS26" s="15">
        <f t="shared" si="37"/>
        <v>0</v>
      </c>
      <c r="BT26" s="23">
        <f t="shared" si="38"/>
        <v>0</v>
      </c>
      <c r="BU26" s="23">
        <f t="shared" si="39"/>
        <v>0</v>
      </c>
      <c r="BV26" s="15">
        <f t="shared" si="40"/>
        <v>15</v>
      </c>
      <c r="BW26" s="15">
        <f t="shared" si="41"/>
        <v>0</v>
      </c>
      <c r="BX26" s="15">
        <f t="shared" si="42"/>
        <v>0</v>
      </c>
    </row>
    <row r="27" spans="1:76">
      <c r="A27" s="15">
        <f t="shared" si="43"/>
        <v>16</v>
      </c>
      <c r="B27" s="41">
        <f>'[2]Esaki Haz Calcs'!B21</f>
        <v>4.3E-3</v>
      </c>
      <c r="C27" s="41">
        <f t="shared" si="3"/>
        <v>0.99570000000000003</v>
      </c>
      <c r="D27" s="41">
        <f t="shared" si="44"/>
        <v>0.85392363496912571</v>
      </c>
      <c r="E27" s="41">
        <f t="shared" si="45"/>
        <v>3.6877288644845243E-3</v>
      </c>
      <c r="F27" s="41">
        <f t="shared" si="4"/>
        <v>0.37941323436745922</v>
      </c>
      <c r="G27" s="41">
        <f t="shared" si="5"/>
        <v>0.14607636503087429</v>
      </c>
      <c r="H27" s="23">
        <f>'ContractCFsExhs1-2'!F28</f>
        <v>0</v>
      </c>
      <c r="I27" s="23">
        <f>'ContractCFsExhs1-2'!E28</f>
        <v>100</v>
      </c>
      <c r="J27" s="23">
        <f>IF('ContractCFsExhs1-2'!A28&lt;'ContractCFsExhs1-2'!$D$7,'E(CFs)30yrs'!H27+'E(CFs)30yrs'!I27,IF('ContractCFsExhs1-2'!A28&gt;'ContractCFsExhs1-2'!$D$7,0,'E(CFs)30yrs'!H27))</f>
        <v>0</v>
      </c>
      <c r="K27" s="51">
        <f t="shared" si="46"/>
        <v>0.6</v>
      </c>
      <c r="L27" s="15">
        <f t="shared" si="6"/>
        <v>0</v>
      </c>
      <c r="M27" s="15">
        <f t="shared" si="6"/>
        <v>0</v>
      </c>
      <c r="N27" s="15">
        <f t="shared" si="6"/>
        <v>0</v>
      </c>
      <c r="O27" s="15">
        <f t="shared" si="6"/>
        <v>0</v>
      </c>
      <c r="P27" s="15">
        <f t="shared" si="6"/>
        <v>0</v>
      </c>
      <c r="Q27" s="15">
        <f t="shared" si="6"/>
        <v>0</v>
      </c>
      <c r="R27" s="15">
        <f t="shared" si="6"/>
        <v>0</v>
      </c>
      <c r="S27" s="15">
        <f t="shared" si="6"/>
        <v>0</v>
      </c>
      <c r="T27" s="15">
        <f t="shared" si="6"/>
        <v>0</v>
      </c>
      <c r="U27" s="15">
        <f t="shared" si="6"/>
        <v>0</v>
      </c>
      <c r="V27" s="15">
        <f t="shared" si="6"/>
        <v>0</v>
      </c>
      <c r="W27" s="15">
        <f t="shared" si="6"/>
        <v>0</v>
      </c>
      <c r="X27" s="15">
        <f t="shared" si="6"/>
        <v>0</v>
      </c>
      <c r="Y27" s="15">
        <f t="shared" si="6"/>
        <v>0</v>
      </c>
      <c r="Z27" s="15">
        <f t="shared" si="6"/>
        <v>0</v>
      </c>
      <c r="AA27" s="15">
        <f t="shared" ref="V27:AK41" si="47">IF(AA$10&gt;AA$8,0,IF($A27&gt;AA$10,0,IF($A27&lt;AA$10,$H27,$J27*$K27)))</f>
        <v>0</v>
      </c>
      <c r="AB27" s="15">
        <f t="shared" si="47"/>
        <v>0</v>
      </c>
      <c r="AC27" s="15">
        <f t="shared" si="47"/>
        <v>0</v>
      </c>
      <c r="AD27" s="15">
        <f t="shared" si="47"/>
        <v>0</v>
      </c>
      <c r="AE27" s="15">
        <f t="shared" si="47"/>
        <v>0</v>
      </c>
      <c r="AF27" s="15">
        <f t="shared" si="7"/>
        <v>0</v>
      </c>
      <c r="AG27" s="15">
        <f t="shared" si="7"/>
        <v>0</v>
      </c>
      <c r="AH27" s="15">
        <f t="shared" si="7"/>
        <v>0</v>
      </c>
      <c r="AI27" s="15">
        <f t="shared" si="7"/>
        <v>0</v>
      </c>
      <c r="AJ27" s="15">
        <f t="shared" si="7"/>
        <v>0</v>
      </c>
      <c r="AK27" s="15">
        <f t="shared" si="7"/>
        <v>0</v>
      </c>
      <c r="AL27" s="15">
        <f t="shared" si="7"/>
        <v>0</v>
      </c>
      <c r="AM27" s="15">
        <f t="shared" si="7"/>
        <v>0</v>
      </c>
      <c r="AN27" s="15">
        <f t="shared" si="7"/>
        <v>0</v>
      </c>
      <c r="AO27" s="15">
        <f t="shared" si="7"/>
        <v>0</v>
      </c>
      <c r="AP27" s="46">
        <f t="shared" si="8"/>
        <v>0</v>
      </c>
      <c r="AQ27" s="15">
        <f t="shared" si="9"/>
        <v>0</v>
      </c>
      <c r="AR27" s="15">
        <f t="shared" si="10"/>
        <v>0</v>
      </c>
      <c r="AS27" s="15">
        <f t="shared" si="11"/>
        <v>0</v>
      </c>
      <c r="AT27" s="15">
        <f t="shared" si="12"/>
        <v>0</v>
      </c>
      <c r="AU27" s="15">
        <f t="shared" si="13"/>
        <v>0</v>
      </c>
      <c r="AV27" s="15">
        <f t="shared" si="14"/>
        <v>0</v>
      </c>
      <c r="AW27" s="15">
        <f t="shared" si="15"/>
        <v>0</v>
      </c>
      <c r="AX27" s="15">
        <f t="shared" si="16"/>
        <v>0</v>
      </c>
      <c r="AY27" s="15">
        <f t="shared" si="17"/>
        <v>0</v>
      </c>
      <c r="AZ27" s="15">
        <f t="shared" si="18"/>
        <v>0</v>
      </c>
      <c r="BA27" s="15">
        <f t="shared" si="19"/>
        <v>0</v>
      </c>
      <c r="BB27" s="15">
        <f t="shared" si="20"/>
        <v>0</v>
      </c>
      <c r="BC27" s="15">
        <f t="shared" si="21"/>
        <v>0</v>
      </c>
      <c r="BD27" s="15">
        <f t="shared" si="22"/>
        <v>0</v>
      </c>
      <c r="BE27" s="15">
        <f t="shared" si="23"/>
        <v>0</v>
      </c>
      <c r="BF27" s="15">
        <f t="shared" si="24"/>
        <v>0</v>
      </c>
      <c r="BG27" s="15">
        <f t="shared" si="25"/>
        <v>0</v>
      </c>
      <c r="BH27" s="15">
        <f t="shared" si="26"/>
        <v>0</v>
      </c>
      <c r="BI27" s="15">
        <f t="shared" si="27"/>
        <v>0</v>
      </c>
      <c r="BJ27" s="15">
        <f t="shared" si="28"/>
        <v>0</v>
      </c>
      <c r="BK27" s="15">
        <f t="shared" si="29"/>
        <v>0</v>
      </c>
      <c r="BL27" s="15">
        <f t="shared" si="30"/>
        <v>0</v>
      </c>
      <c r="BM27" s="15">
        <f t="shared" si="31"/>
        <v>0</v>
      </c>
      <c r="BN27" s="15">
        <f t="shared" si="32"/>
        <v>0</v>
      </c>
      <c r="BO27" s="15">
        <f t="shared" si="33"/>
        <v>0</v>
      </c>
      <c r="BP27" s="15">
        <f t="shared" si="34"/>
        <v>0</v>
      </c>
      <c r="BQ27" s="15">
        <f t="shared" si="35"/>
        <v>0</v>
      </c>
      <c r="BR27" s="15">
        <f t="shared" si="36"/>
        <v>0</v>
      </c>
      <c r="BS27" s="15">
        <f t="shared" si="37"/>
        <v>0</v>
      </c>
      <c r="BT27" s="23">
        <f t="shared" si="38"/>
        <v>0</v>
      </c>
      <c r="BU27" s="23">
        <f t="shared" si="39"/>
        <v>0</v>
      </c>
      <c r="BV27" s="15">
        <f t="shared" si="40"/>
        <v>16</v>
      </c>
      <c r="BW27" s="15">
        <f t="shared" si="41"/>
        <v>0</v>
      </c>
      <c r="BX27" s="15">
        <f t="shared" si="42"/>
        <v>0</v>
      </c>
    </row>
    <row r="28" spans="1:76">
      <c r="A28" s="15">
        <f t="shared" si="43"/>
        <v>17</v>
      </c>
      <c r="B28" s="41">
        <f>'[2]Esaki Haz Calcs'!B22</f>
        <v>3.7000000000000002E-3</v>
      </c>
      <c r="C28" s="41">
        <f t="shared" si="3"/>
        <v>0.99629999999999996</v>
      </c>
      <c r="D28" s="41">
        <f t="shared" si="44"/>
        <v>0.8507641175197399</v>
      </c>
      <c r="E28" s="41">
        <f t="shared" si="45"/>
        <v>3.1595174493857653E-3</v>
      </c>
      <c r="F28" s="41">
        <f t="shared" si="4"/>
        <v>0.34538477535194501</v>
      </c>
      <c r="G28" s="41">
        <f t="shared" si="5"/>
        <v>0.1492358824802601</v>
      </c>
      <c r="H28" s="23">
        <f>'ContractCFsExhs1-2'!F29</f>
        <v>0</v>
      </c>
      <c r="I28" s="23">
        <f>'ContractCFsExhs1-2'!E29</f>
        <v>100</v>
      </c>
      <c r="J28" s="23">
        <f>IF('ContractCFsExhs1-2'!A29&lt;'ContractCFsExhs1-2'!$D$7,'E(CFs)30yrs'!H28+'E(CFs)30yrs'!I28,IF('ContractCFsExhs1-2'!A29&gt;'ContractCFsExhs1-2'!$D$7,0,'E(CFs)30yrs'!H28))</f>
        <v>0</v>
      </c>
      <c r="K28" s="51">
        <f t="shared" si="46"/>
        <v>0.6</v>
      </c>
      <c r="L28" s="15">
        <f t="shared" ref="L28:U41" si="48">IF(L$10&gt;L$8,0,IF($A28&gt;L$10,0,IF($A28&lt;L$10,$H28,$J28*$K28)))</f>
        <v>0</v>
      </c>
      <c r="M28" s="15">
        <f t="shared" si="48"/>
        <v>0</v>
      </c>
      <c r="N28" s="15">
        <f t="shared" si="48"/>
        <v>0</v>
      </c>
      <c r="O28" s="15">
        <f t="shared" si="48"/>
        <v>0</v>
      </c>
      <c r="P28" s="15">
        <f t="shared" si="48"/>
        <v>0</v>
      </c>
      <c r="Q28" s="15">
        <f t="shared" si="48"/>
        <v>0</v>
      </c>
      <c r="R28" s="15">
        <f t="shared" si="48"/>
        <v>0</v>
      </c>
      <c r="S28" s="15">
        <f t="shared" si="48"/>
        <v>0</v>
      </c>
      <c r="T28" s="15">
        <f t="shared" si="48"/>
        <v>0</v>
      </c>
      <c r="U28" s="15">
        <f t="shared" si="48"/>
        <v>0</v>
      </c>
      <c r="V28" s="15">
        <f t="shared" si="47"/>
        <v>0</v>
      </c>
      <c r="W28" s="15">
        <f t="shared" si="47"/>
        <v>0</v>
      </c>
      <c r="X28" s="15">
        <f t="shared" si="47"/>
        <v>0</v>
      </c>
      <c r="Y28" s="15">
        <f t="shared" si="47"/>
        <v>0</v>
      </c>
      <c r="Z28" s="15">
        <f t="shared" si="47"/>
        <v>0</v>
      </c>
      <c r="AA28" s="15">
        <f t="shared" si="47"/>
        <v>0</v>
      </c>
      <c r="AB28" s="15">
        <f t="shared" si="47"/>
        <v>0</v>
      </c>
      <c r="AC28" s="15">
        <f t="shared" si="47"/>
        <v>0</v>
      </c>
      <c r="AD28" s="15">
        <f t="shared" si="47"/>
        <v>0</v>
      </c>
      <c r="AE28" s="15">
        <f t="shared" si="47"/>
        <v>0</v>
      </c>
      <c r="AF28" s="15">
        <f t="shared" si="47"/>
        <v>0</v>
      </c>
      <c r="AG28" s="15">
        <f t="shared" si="47"/>
        <v>0</v>
      </c>
      <c r="AH28" s="15">
        <f t="shared" si="47"/>
        <v>0</v>
      </c>
      <c r="AI28" s="15">
        <f t="shared" si="47"/>
        <v>0</v>
      </c>
      <c r="AJ28" s="15">
        <f t="shared" si="47"/>
        <v>0</v>
      </c>
      <c r="AK28" s="15">
        <f t="shared" si="47"/>
        <v>0</v>
      </c>
      <c r="AL28" s="15">
        <f t="shared" ref="AF28:AO41" si="49">IF(AL$10&gt;AL$8,0,IF($A28&gt;AL$10,0,IF($A28&lt;AL$10,$H28,$J28*$K28)))</f>
        <v>0</v>
      </c>
      <c r="AM28" s="15">
        <f t="shared" si="49"/>
        <v>0</v>
      </c>
      <c r="AN28" s="15">
        <f t="shared" si="49"/>
        <v>0</v>
      </c>
      <c r="AO28" s="15">
        <f t="shared" si="49"/>
        <v>0</v>
      </c>
      <c r="AP28" s="46">
        <f t="shared" si="8"/>
        <v>0</v>
      </c>
      <c r="AQ28" s="15">
        <f t="shared" si="9"/>
        <v>0</v>
      </c>
      <c r="AR28" s="15">
        <f t="shared" si="10"/>
        <v>0</v>
      </c>
      <c r="AS28" s="15">
        <f t="shared" si="11"/>
        <v>0</v>
      </c>
      <c r="AT28" s="15">
        <f t="shared" si="12"/>
        <v>0</v>
      </c>
      <c r="AU28" s="15">
        <f t="shared" si="13"/>
        <v>0</v>
      </c>
      <c r="AV28" s="15">
        <f t="shared" si="14"/>
        <v>0</v>
      </c>
      <c r="AW28" s="15">
        <f t="shared" si="15"/>
        <v>0</v>
      </c>
      <c r="AX28" s="15">
        <f t="shared" si="16"/>
        <v>0</v>
      </c>
      <c r="AY28" s="15">
        <f t="shared" si="17"/>
        <v>0</v>
      </c>
      <c r="AZ28" s="15">
        <f t="shared" si="18"/>
        <v>0</v>
      </c>
      <c r="BA28" s="15">
        <f t="shared" si="19"/>
        <v>0</v>
      </c>
      <c r="BB28" s="15">
        <f t="shared" si="20"/>
        <v>0</v>
      </c>
      <c r="BC28" s="15">
        <f t="shared" si="21"/>
        <v>0</v>
      </c>
      <c r="BD28" s="15">
        <f t="shared" si="22"/>
        <v>0</v>
      </c>
      <c r="BE28" s="15">
        <f t="shared" si="23"/>
        <v>0</v>
      </c>
      <c r="BF28" s="15">
        <f t="shared" si="24"/>
        <v>0</v>
      </c>
      <c r="BG28" s="15">
        <f t="shared" si="25"/>
        <v>0</v>
      </c>
      <c r="BH28" s="15">
        <f t="shared" si="26"/>
        <v>0</v>
      </c>
      <c r="BI28" s="15">
        <f t="shared" si="27"/>
        <v>0</v>
      </c>
      <c r="BJ28" s="15">
        <f t="shared" si="28"/>
        <v>0</v>
      </c>
      <c r="BK28" s="15">
        <f t="shared" si="29"/>
        <v>0</v>
      </c>
      <c r="BL28" s="15">
        <f t="shared" si="30"/>
        <v>0</v>
      </c>
      <c r="BM28" s="15">
        <f t="shared" si="31"/>
        <v>0</v>
      </c>
      <c r="BN28" s="15">
        <f t="shared" si="32"/>
        <v>0</v>
      </c>
      <c r="BO28" s="15">
        <f t="shared" si="33"/>
        <v>0</v>
      </c>
      <c r="BP28" s="15">
        <f t="shared" si="34"/>
        <v>0</v>
      </c>
      <c r="BQ28" s="15">
        <f t="shared" si="35"/>
        <v>0</v>
      </c>
      <c r="BR28" s="15">
        <f t="shared" si="36"/>
        <v>0</v>
      </c>
      <c r="BS28" s="15">
        <f t="shared" si="37"/>
        <v>0</v>
      </c>
      <c r="BT28" s="23">
        <f t="shared" si="38"/>
        <v>0</v>
      </c>
      <c r="BU28" s="23">
        <f t="shared" si="39"/>
        <v>0</v>
      </c>
      <c r="BV28" s="15">
        <f t="shared" si="40"/>
        <v>17</v>
      </c>
      <c r="BW28" s="15">
        <f t="shared" si="41"/>
        <v>0</v>
      </c>
      <c r="BX28" s="15">
        <f t="shared" si="42"/>
        <v>0</v>
      </c>
    </row>
    <row r="29" spans="1:76">
      <c r="A29" s="15">
        <f t="shared" si="43"/>
        <v>18</v>
      </c>
      <c r="B29" s="41">
        <f>'[2]Esaki Haz Calcs'!B23</f>
        <v>1.8E-3</v>
      </c>
      <c r="C29" s="41">
        <f t="shared" si="3"/>
        <v>0.99819999999999998</v>
      </c>
      <c r="D29" s="41">
        <f t="shared" si="44"/>
        <v>0.84923274210820432</v>
      </c>
      <c r="E29" s="41">
        <f t="shared" si="45"/>
        <v>1.5313754115355317E-3</v>
      </c>
      <c r="F29" s="41">
        <f t="shared" si="4"/>
        <v>0.17725058814839151</v>
      </c>
      <c r="G29" s="41">
        <f t="shared" si="5"/>
        <v>0.15076725789179568</v>
      </c>
      <c r="H29" s="23">
        <f>'ContractCFsExhs1-2'!F30</f>
        <v>0</v>
      </c>
      <c r="I29" s="23">
        <f>'ContractCFsExhs1-2'!E30</f>
        <v>100</v>
      </c>
      <c r="J29" s="23">
        <f>IF('ContractCFsExhs1-2'!A30&lt;'ContractCFsExhs1-2'!$D$7,'E(CFs)30yrs'!H29+'E(CFs)30yrs'!I29,IF('ContractCFsExhs1-2'!A30&gt;'ContractCFsExhs1-2'!$D$7,0,'E(CFs)30yrs'!H29))</f>
        <v>0</v>
      </c>
      <c r="K29" s="51">
        <f t="shared" si="46"/>
        <v>0.6</v>
      </c>
      <c r="L29" s="15">
        <f t="shared" si="48"/>
        <v>0</v>
      </c>
      <c r="M29" s="15">
        <f t="shared" si="48"/>
        <v>0</v>
      </c>
      <c r="N29" s="15">
        <f t="shared" si="48"/>
        <v>0</v>
      </c>
      <c r="O29" s="15">
        <f t="shared" si="48"/>
        <v>0</v>
      </c>
      <c r="P29" s="15">
        <f t="shared" si="48"/>
        <v>0</v>
      </c>
      <c r="Q29" s="15">
        <f t="shared" si="48"/>
        <v>0</v>
      </c>
      <c r="R29" s="15">
        <f t="shared" si="48"/>
        <v>0</v>
      </c>
      <c r="S29" s="15">
        <f t="shared" si="48"/>
        <v>0</v>
      </c>
      <c r="T29" s="15">
        <f t="shared" si="48"/>
        <v>0</v>
      </c>
      <c r="U29" s="15">
        <f t="shared" si="48"/>
        <v>0</v>
      </c>
      <c r="V29" s="15">
        <f t="shared" si="47"/>
        <v>0</v>
      </c>
      <c r="W29" s="15">
        <f t="shared" si="47"/>
        <v>0</v>
      </c>
      <c r="X29" s="15">
        <f t="shared" si="47"/>
        <v>0</v>
      </c>
      <c r="Y29" s="15">
        <f t="shared" si="47"/>
        <v>0</v>
      </c>
      <c r="Z29" s="15">
        <f t="shared" si="47"/>
        <v>0</v>
      </c>
      <c r="AA29" s="15">
        <f t="shared" si="47"/>
        <v>0</v>
      </c>
      <c r="AB29" s="15">
        <f t="shared" si="47"/>
        <v>0</v>
      </c>
      <c r="AC29" s="15">
        <f t="shared" si="47"/>
        <v>0</v>
      </c>
      <c r="AD29" s="15">
        <f t="shared" si="47"/>
        <v>0</v>
      </c>
      <c r="AE29" s="15">
        <f t="shared" si="47"/>
        <v>0</v>
      </c>
      <c r="AF29" s="15">
        <f t="shared" si="49"/>
        <v>0</v>
      </c>
      <c r="AG29" s="15">
        <f t="shared" si="49"/>
        <v>0</v>
      </c>
      <c r="AH29" s="15">
        <f t="shared" si="49"/>
        <v>0</v>
      </c>
      <c r="AI29" s="15">
        <f t="shared" si="49"/>
        <v>0</v>
      </c>
      <c r="AJ29" s="15">
        <f t="shared" si="49"/>
        <v>0</v>
      </c>
      <c r="AK29" s="15">
        <f t="shared" si="49"/>
        <v>0</v>
      </c>
      <c r="AL29" s="15">
        <f t="shared" si="49"/>
        <v>0</v>
      </c>
      <c r="AM29" s="15">
        <f t="shared" si="49"/>
        <v>0</v>
      </c>
      <c r="AN29" s="15">
        <f t="shared" si="49"/>
        <v>0</v>
      </c>
      <c r="AO29" s="15">
        <f t="shared" si="49"/>
        <v>0</v>
      </c>
      <c r="AP29" s="46">
        <f t="shared" si="8"/>
        <v>0</v>
      </c>
      <c r="AQ29" s="15">
        <f t="shared" si="9"/>
        <v>0</v>
      </c>
      <c r="AR29" s="15">
        <f t="shared" si="10"/>
        <v>0</v>
      </c>
      <c r="AS29" s="15">
        <f t="shared" si="11"/>
        <v>0</v>
      </c>
      <c r="AT29" s="15">
        <f t="shared" si="12"/>
        <v>0</v>
      </c>
      <c r="AU29" s="15">
        <f t="shared" si="13"/>
        <v>0</v>
      </c>
      <c r="AV29" s="15">
        <f t="shared" si="14"/>
        <v>0</v>
      </c>
      <c r="AW29" s="15">
        <f t="shared" si="15"/>
        <v>0</v>
      </c>
      <c r="AX29" s="15">
        <f t="shared" si="16"/>
        <v>0</v>
      </c>
      <c r="AY29" s="15">
        <f t="shared" si="17"/>
        <v>0</v>
      </c>
      <c r="AZ29" s="15">
        <f t="shared" si="18"/>
        <v>0</v>
      </c>
      <c r="BA29" s="15">
        <f t="shared" si="19"/>
        <v>0</v>
      </c>
      <c r="BB29" s="15">
        <f t="shared" si="20"/>
        <v>0</v>
      </c>
      <c r="BC29" s="15">
        <f t="shared" si="21"/>
        <v>0</v>
      </c>
      <c r="BD29" s="15">
        <f t="shared" si="22"/>
        <v>0</v>
      </c>
      <c r="BE29" s="15">
        <f t="shared" si="23"/>
        <v>0</v>
      </c>
      <c r="BF29" s="15">
        <f t="shared" si="24"/>
        <v>0</v>
      </c>
      <c r="BG29" s="15">
        <f t="shared" si="25"/>
        <v>0</v>
      </c>
      <c r="BH29" s="15">
        <f t="shared" si="26"/>
        <v>0</v>
      </c>
      <c r="BI29" s="15">
        <f t="shared" si="27"/>
        <v>0</v>
      </c>
      <c r="BJ29" s="15">
        <f t="shared" si="28"/>
        <v>0</v>
      </c>
      <c r="BK29" s="15">
        <f t="shared" si="29"/>
        <v>0</v>
      </c>
      <c r="BL29" s="15">
        <f t="shared" si="30"/>
        <v>0</v>
      </c>
      <c r="BM29" s="15">
        <f t="shared" si="31"/>
        <v>0</v>
      </c>
      <c r="BN29" s="15">
        <f t="shared" si="32"/>
        <v>0</v>
      </c>
      <c r="BO29" s="15">
        <f t="shared" si="33"/>
        <v>0</v>
      </c>
      <c r="BP29" s="15">
        <f t="shared" si="34"/>
        <v>0</v>
      </c>
      <c r="BQ29" s="15">
        <f t="shared" si="35"/>
        <v>0</v>
      </c>
      <c r="BR29" s="15">
        <f t="shared" si="36"/>
        <v>0</v>
      </c>
      <c r="BS29" s="15">
        <f t="shared" si="37"/>
        <v>0</v>
      </c>
      <c r="BT29" s="23">
        <f t="shared" si="38"/>
        <v>0</v>
      </c>
      <c r="BU29" s="23">
        <f t="shared" si="39"/>
        <v>0</v>
      </c>
      <c r="BV29" s="15">
        <f t="shared" si="40"/>
        <v>18</v>
      </c>
      <c r="BW29" s="15">
        <f t="shared" si="41"/>
        <v>0</v>
      </c>
      <c r="BX29" s="15">
        <f t="shared" si="42"/>
        <v>0</v>
      </c>
    </row>
    <row r="30" spans="1:76">
      <c r="A30" s="15">
        <f t="shared" si="43"/>
        <v>19</v>
      </c>
      <c r="B30" s="41">
        <f>'[2]Esaki Haz Calcs'!B24</f>
        <v>1.4E-3</v>
      </c>
      <c r="C30" s="41">
        <f t="shared" si="3"/>
        <v>0.99860000000000004</v>
      </c>
      <c r="D30" s="41">
        <f t="shared" si="44"/>
        <v>0.84804381626925285</v>
      </c>
      <c r="E30" s="41">
        <f t="shared" si="45"/>
        <v>1.1889258389514859E-3</v>
      </c>
      <c r="F30" s="41">
        <f t="shared" si="4"/>
        <v>0.14525860761069964</v>
      </c>
      <c r="G30" s="41">
        <f t="shared" si="5"/>
        <v>0.15195618373074715</v>
      </c>
      <c r="H30" s="23">
        <f>'ContractCFsExhs1-2'!F31</f>
        <v>0</v>
      </c>
      <c r="I30" s="23">
        <f>'ContractCFsExhs1-2'!E31</f>
        <v>100</v>
      </c>
      <c r="J30" s="23">
        <f>IF('ContractCFsExhs1-2'!A31&lt;'ContractCFsExhs1-2'!$D$7,'E(CFs)30yrs'!H30+'E(CFs)30yrs'!I30,IF('ContractCFsExhs1-2'!A31&gt;'ContractCFsExhs1-2'!$D$7,0,'E(CFs)30yrs'!H30))</f>
        <v>0</v>
      </c>
      <c r="K30" s="51">
        <f t="shared" si="46"/>
        <v>0.6</v>
      </c>
      <c r="L30" s="15">
        <f t="shared" si="48"/>
        <v>0</v>
      </c>
      <c r="M30" s="15">
        <f t="shared" si="48"/>
        <v>0</v>
      </c>
      <c r="N30" s="15">
        <f t="shared" si="48"/>
        <v>0</v>
      </c>
      <c r="O30" s="15">
        <f t="shared" si="48"/>
        <v>0</v>
      </c>
      <c r="P30" s="15">
        <f t="shared" si="48"/>
        <v>0</v>
      </c>
      <c r="Q30" s="15">
        <f t="shared" si="48"/>
        <v>0</v>
      </c>
      <c r="R30" s="15">
        <f t="shared" si="48"/>
        <v>0</v>
      </c>
      <c r="S30" s="15">
        <f t="shared" si="48"/>
        <v>0</v>
      </c>
      <c r="T30" s="15">
        <f t="shared" si="48"/>
        <v>0</v>
      </c>
      <c r="U30" s="15">
        <f t="shared" si="48"/>
        <v>0</v>
      </c>
      <c r="V30" s="15">
        <f t="shared" si="47"/>
        <v>0</v>
      </c>
      <c r="W30" s="15">
        <f t="shared" si="47"/>
        <v>0</v>
      </c>
      <c r="X30" s="15">
        <f t="shared" si="47"/>
        <v>0</v>
      </c>
      <c r="Y30" s="15">
        <f t="shared" si="47"/>
        <v>0</v>
      </c>
      <c r="Z30" s="15">
        <f t="shared" si="47"/>
        <v>0</v>
      </c>
      <c r="AA30" s="15">
        <f t="shared" si="47"/>
        <v>0</v>
      </c>
      <c r="AB30" s="15">
        <f t="shared" si="47"/>
        <v>0</v>
      </c>
      <c r="AC30" s="15">
        <f t="shared" si="47"/>
        <v>0</v>
      </c>
      <c r="AD30" s="15">
        <f t="shared" si="47"/>
        <v>0</v>
      </c>
      <c r="AE30" s="15">
        <f t="shared" si="47"/>
        <v>0</v>
      </c>
      <c r="AF30" s="15">
        <f t="shared" si="49"/>
        <v>0</v>
      </c>
      <c r="AG30" s="15">
        <f t="shared" si="49"/>
        <v>0</v>
      </c>
      <c r="AH30" s="15">
        <f t="shared" si="49"/>
        <v>0</v>
      </c>
      <c r="AI30" s="15">
        <f t="shared" si="49"/>
        <v>0</v>
      </c>
      <c r="AJ30" s="15">
        <f t="shared" si="49"/>
        <v>0</v>
      </c>
      <c r="AK30" s="15">
        <f t="shared" si="49"/>
        <v>0</v>
      </c>
      <c r="AL30" s="15">
        <f t="shared" si="49"/>
        <v>0</v>
      </c>
      <c r="AM30" s="15">
        <f t="shared" si="49"/>
        <v>0</v>
      </c>
      <c r="AN30" s="15">
        <f t="shared" si="49"/>
        <v>0</v>
      </c>
      <c r="AO30" s="15">
        <f t="shared" si="49"/>
        <v>0</v>
      </c>
      <c r="AP30" s="46">
        <f t="shared" si="8"/>
        <v>0</v>
      </c>
      <c r="AQ30" s="15">
        <f t="shared" si="9"/>
        <v>0</v>
      </c>
      <c r="AR30" s="15">
        <f t="shared" si="10"/>
        <v>0</v>
      </c>
      <c r="AS30" s="15">
        <f t="shared" si="11"/>
        <v>0</v>
      </c>
      <c r="AT30" s="15">
        <f t="shared" si="12"/>
        <v>0</v>
      </c>
      <c r="AU30" s="15">
        <f t="shared" si="13"/>
        <v>0</v>
      </c>
      <c r="AV30" s="15">
        <f t="shared" si="14"/>
        <v>0</v>
      </c>
      <c r="AW30" s="15">
        <f t="shared" si="15"/>
        <v>0</v>
      </c>
      <c r="AX30" s="15">
        <f t="shared" si="16"/>
        <v>0</v>
      </c>
      <c r="AY30" s="15">
        <f t="shared" si="17"/>
        <v>0</v>
      </c>
      <c r="AZ30" s="15">
        <f t="shared" si="18"/>
        <v>0</v>
      </c>
      <c r="BA30" s="15">
        <f t="shared" si="19"/>
        <v>0</v>
      </c>
      <c r="BB30" s="15">
        <f t="shared" si="20"/>
        <v>0</v>
      </c>
      <c r="BC30" s="15">
        <f t="shared" si="21"/>
        <v>0</v>
      </c>
      <c r="BD30" s="15">
        <f t="shared" si="22"/>
        <v>0</v>
      </c>
      <c r="BE30" s="15">
        <f t="shared" si="23"/>
        <v>0</v>
      </c>
      <c r="BF30" s="15">
        <f t="shared" si="24"/>
        <v>0</v>
      </c>
      <c r="BG30" s="15">
        <f t="shared" si="25"/>
        <v>0</v>
      </c>
      <c r="BH30" s="15">
        <f t="shared" si="26"/>
        <v>0</v>
      </c>
      <c r="BI30" s="15">
        <f t="shared" si="27"/>
        <v>0</v>
      </c>
      <c r="BJ30" s="15">
        <f t="shared" si="28"/>
        <v>0</v>
      </c>
      <c r="BK30" s="15">
        <f t="shared" si="29"/>
        <v>0</v>
      </c>
      <c r="BL30" s="15">
        <f t="shared" si="30"/>
        <v>0</v>
      </c>
      <c r="BM30" s="15">
        <f t="shared" si="31"/>
        <v>0</v>
      </c>
      <c r="BN30" s="15">
        <f t="shared" si="32"/>
        <v>0</v>
      </c>
      <c r="BO30" s="15">
        <f t="shared" si="33"/>
        <v>0</v>
      </c>
      <c r="BP30" s="15">
        <f t="shared" si="34"/>
        <v>0</v>
      </c>
      <c r="BQ30" s="15">
        <f t="shared" si="35"/>
        <v>0</v>
      </c>
      <c r="BR30" s="15">
        <f t="shared" si="36"/>
        <v>0</v>
      </c>
      <c r="BS30" s="15">
        <f t="shared" si="37"/>
        <v>0</v>
      </c>
      <c r="BT30" s="23">
        <f t="shared" si="38"/>
        <v>0</v>
      </c>
      <c r="BU30" s="23">
        <f t="shared" si="39"/>
        <v>0</v>
      </c>
      <c r="BV30" s="15">
        <f t="shared" si="40"/>
        <v>19</v>
      </c>
      <c r="BW30" s="15">
        <f t="shared" si="41"/>
        <v>0</v>
      </c>
      <c r="BX30" s="15">
        <f t="shared" si="42"/>
        <v>0</v>
      </c>
    </row>
    <row r="31" spans="1:76">
      <c r="A31" s="15">
        <f t="shared" si="43"/>
        <v>20</v>
      </c>
      <c r="B31" s="41">
        <f>'[2]Esaki Haz Calcs'!B25</f>
        <v>2E-3</v>
      </c>
      <c r="C31" s="41">
        <f t="shared" si="3"/>
        <v>0.998</v>
      </c>
      <c r="D31" s="41">
        <f t="shared" si="44"/>
        <v>0.84634772863671437</v>
      </c>
      <c r="E31" s="41">
        <f t="shared" si="45"/>
        <v>1.6960876325385057E-3</v>
      </c>
      <c r="F31" s="41">
        <f t="shared" si="4"/>
        <v>0.21812818881209728</v>
      </c>
      <c r="G31" s="41">
        <f t="shared" si="5"/>
        <v>0.15365227136328563</v>
      </c>
      <c r="H31" s="23">
        <f>'ContractCFsExhs1-2'!F32</f>
        <v>0</v>
      </c>
      <c r="I31" s="23">
        <f>'ContractCFsExhs1-2'!E32</f>
        <v>100</v>
      </c>
      <c r="J31" s="23">
        <f>IF('ContractCFsExhs1-2'!A32&lt;'ContractCFsExhs1-2'!$D$7,'E(CFs)30yrs'!H31+'E(CFs)30yrs'!I31,IF('ContractCFsExhs1-2'!A32&gt;'ContractCFsExhs1-2'!$D$7,0,'E(CFs)30yrs'!H31))</f>
        <v>0</v>
      </c>
      <c r="K31" s="51">
        <f t="shared" si="46"/>
        <v>0.6</v>
      </c>
      <c r="L31" s="15">
        <f t="shared" si="48"/>
        <v>0</v>
      </c>
      <c r="M31" s="15">
        <f t="shared" si="48"/>
        <v>0</v>
      </c>
      <c r="N31" s="15">
        <f t="shared" si="48"/>
        <v>0</v>
      </c>
      <c r="O31" s="15">
        <f t="shared" si="48"/>
        <v>0</v>
      </c>
      <c r="P31" s="15">
        <f t="shared" si="48"/>
        <v>0</v>
      </c>
      <c r="Q31" s="15">
        <f t="shared" si="48"/>
        <v>0</v>
      </c>
      <c r="R31" s="15">
        <f t="shared" si="48"/>
        <v>0</v>
      </c>
      <c r="S31" s="15">
        <f t="shared" si="48"/>
        <v>0</v>
      </c>
      <c r="T31" s="15">
        <f t="shared" si="48"/>
        <v>0</v>
      </c>
      <c r="U31" s="15">
        <f t="shared" si="48"/>
        <v>0</v>
      </c>
      <c r="V31" s="15">
        <f t="shared" si="47"/>
        <v>0</v>
      </c>
      <c r="W31" s="15">
        <f t="shared" si="47"/>
        <v>0</v>
      </c>
      <c r="X31" s="15">
        <f t="shared" si="47"/>
        <v>0</v>
      </c>
      <c r="Y31" s="15">
        <f t="shared" si="47"/>
        <v>0</v>
      </c>
      <c r="Z31" s="15">
        <f t="shared" si="47"/>
        <v>0</v>
      </c>
      <c r="AA31" s="15">
        <f t="shared" si="47"/>
        <v>0</v>
      </c>
      <c r="AB31" s="15">
        <f t="shared" si="47"/>
        <v>0</v>
      </c>
      <c r="AC31" s="15">
        <f t="shared" si="47"/>
        <v>0</v>
      </c>
      <c r="AD31" s="15">
        <f t="shared" si="47"/>
        <v>0</v>
      </c>
      <c r="AE31" s="15">
        <f t="shared" si="47"/>
        <v>0</v>
      </c>
      <c r="AF31" s="15">
        <f t="shared" si="49"/>
        <v>0</v>
      </c>
      <c r="AG31" s="15">
        <f t="shared" si="49"/>
        <v>0</v>
      </c>
      <c r="AH31" s="15">
        <f t="shared" si="49"/>
        <v>0</v>
      </c>
      <c r="AI31" s="15">
        <f t="shared" si="49"/>
        <v>0</v>
      </c>
      <c r="AJ31" s="15">
        <f t="shared" si="49"/>
        <v>0</v>
      </c>
      <c r="AK31" s="15">
        <f t="shared" si="49"/>
        <v>0</v>
      </c>
      <c r="AL31" s="15">
        <f t="shared" si="49"/>
        <v>0</v>
      </c>
      <c r="AM31" s="15">
        <f t="shared" si="49"/>
        <v>0</v>
      </c>
      <c r="AN31" s="15">
        <f t="shared" si="49"/>
        <v>0</v>
      </c>
      <c r="AO31" s="15">
        <f t="shared" si="49"/>
        <v>0</v>
      </c>
      <c r="AP31" s="46">
        <f t="shared" si="8"/>
        <v>0</v>
      </c>
      <c r="AQ31" s="15">
        <f t="shared" si="9"/>
        <v>0</v>
      </c>
      <c r="AR31" s="15">
        <f t="shared" si="10"/>
        <v>0</v>
      </c>
      <c r="AS31" s="15">
        <f t="shared" si="11"/>
        <v>0</v>
      </c>
      <c r="AT31" s="15">
        <f t="shared" si="12"/>
        <v>0</v>
      </c>
      <c r="AU31" s="15">
        <f t="shared" si="13"/>
        <v>0</v>
      </c>
      <c r="AV31" s="15">
        <f t="shared" si="14"/>
        <v>0</v>
      </c>
      <c r="AW31" s="15">
        <f t="shared" si="15"/>
        <v>0</v>
      </c>
      <c r="AX31" s="15">
        <f t="shared" si="16"/>
        <v>0</v>
      </c>
      <c r="AY31" s="15">
        <f t="shared" si="17"/>
        <v>0</v>
      </c>
      <c r="AZ31" s="15">
        <f t="shared" si="18"/>
        <v>0</v>
      </c>
      <c r="BA31" s="15">
        <f t="shared" si="19"/>
        <v>0</v>
      </c>
      <c r="BB31" s="15">
        <f t="shared" si="20"/>
        <v>0</v>
      </c>
      <c r="BC31" s="15">
        <f t="shared" si="21"/>
        <v>0</v>
      </c>
      <c r="BD31" s="15">
        <f t="shared" si="22"/>
        <v>0</v>
      </c>
      <c r="BE31" s="15">
        <f t="shared" si="23"/>
        <v>0</v>
      </c>
      <c r="BF31" s="15">
        <f t="shared" si="24"/>
        <v>0</v>
      </c>
      <c r="BG31" s="15">
        <f t="shared" si="25"/>
        <v>0</v>
      </c>
      <c r="BH31" s="15">
        <f t="shared" si="26"/>
        <v>0</v>
      </c>
      <c r="BI31" s="15">
        <f t="shared" si="27"/>
        <v>0</v>
      </c>
      <c r="BJ31" s="15">
        <f t="shared" si="28"/>
        <v>0</v>
      </c>
      <c r="BK31" s="15">
        <f t="shared" si="29"/>
        <v>0</v>
      </c>
      <c r="BL31" s="15">
        <f t="shared" si="30"/>
        <v>0</v>
      </c>
      <c r="BM31" s="15">
        <f t="shared" si="31"/>
        <v>0</v>
      </c>
      <c r="BN31" s="15">
        <f t="shared" si="32"/>
        <v>0</v>
      </c>
      <c r="BO31" s="15">
        <f t="shared" si="33"/>
        <v>0</v>
      </c>
      <c r="BP31" s="15">
        <f t="shared" si="34"/>
        <v>0</v>
      </c>
      <c r="BQ31" s="15">
        <f t="shared" si="35"/>
        <v>0</v>
      </c>
      <c r="BR31" s="15">
        <f t="shared" si="36"/>
        <v>0</v>
      </c>
      <c r="BS31" s="15">
        <f t="shared" si="37"/>
        <v>0</v>
      </c>
      <c r="BT31" s="23">
        <f t="shared" si="38"/>
        <v>0</v>
      </c>
      <c r="BU31" s="23">
        <f t="shared" si="39"/>
        <v>0</v>
      </c>
      <c r="BV31" s="15">
        <f t="shared" si="40"/>
        <v>20</v>
      </c>
      <c r="BW31" s="15">
        <f t="shared" si="41"/>
        <v>0</v>
      </c>
      <c r="BX31" s="15">
        <f t="shared" si="42"/>
        <v>0</v>
      </c>
    </row>
    <row r="32" spans="1:76">
      <c r="A32" s="15">
        <f t="shared" si="43"/>
        <v>21</v>
      </c>
      <c r="B32" s="41">
        <f>'[2]Esaki Haz Calcs'!B26</f>
        <v>1.1999999999999999E-3</v>
      </c>
      <c r="C32" s="41">
        <f t="shared" si="3"/>
        <v>0.99880000000000002</v>
      </c>
      <c r="D32" s="41">
        <f t="shared" si="44"/>
        <v>0.84533211136235031</v>
      </c>
      <c r="E32" s="41">
        <f t="shared" si="45"/>
        <v>1.0156172743640572E-3</v>
      </c>
      <c r="F32" s="41">
        <f t="shared" si="4"/>
        <v>0.13714591743371804</v>
      </c>
      <c r="G32" s="41">
        <f t="shared" si="5"/>
        <v>0.15466788863764969</v>
      </c>
      <c r="H32" s="23">
        <f>'ContractCFsExhs1-2'!F33</f>
        <v>0</v>
      </c>
      <c r="I32" s="23">
        <f>'ContractCFsExhs1-2'!E33</f>
        <v>100</v>
      </c>
      <c r="J32" s="23">
        <f>IF('ContractCFsExhs1-2'!A33&lt;'ContractCFsExhs1-2'!$D$7,'E(CFs)30yrs'!H32+'E(CFs)30yrs'!I32,IF('ContractCFsExhs1-2'!A33&gt;'ContractCFsExhs1-2'!$D$7,0,'E(CFs)30yrs'!H32))</f>
        <v>0</v>
      </c>
      <c r="K32" s="51">
        <f t="shared" si="46"/>
        <v>0.6</v>
      </c>
      <c r="L32" s="15">
        <f t="shared" si="48"/>
        <v>0</v>
      </c>
      <c r="M32" s="15">
        <f t="shared" si="48"/>
        <v>0</v>
      </c>
      <c r="N32" s="15">
        <f t="shared" si="48"/>
        <v>0</v>
      </c>
      <c r="O32" s="15">
        <f t="shared" si="48"/>
        <v>0</v>
      </c>
      <c r="P32" s="15">
        <f t="shared" si="48"/>
        <v>0</v>
      </c>
      <c r="Q32" s="15">
        <f t="shared" si="48"/>
        <v>0</v>
      </c>
      <c r="R32" s="15">
        <f t="shared" si="48"/>
        <v>0</v>
      </c>
      <c r="S32" s="15">
        <f t="shared" si="48"/>
        <v>0</v>
      </c>
      <c r="T32" s="15">
        <f t="shared" si="48"/>
        <v>0</v>
      </c>
      <c r="U32" s="15">
        <f t="shared" si="48"/>
        <v>0</v>
      </c>
      <c r="V32" s="15">
        <f t="shared" si="47"/>
        <v>0</v>
      </c>
      <c r="W32" s="15">
        <f t="shared" si="47"/>
        <v>0</v>
      </c>
      <c r="X32" s="15">
        <f t="shared" si="47"/>
        <v>0</v>
      </c>
      <c r="Y32" s="15">
        <f t="shared" si="47"/>
        <v>0</v>
      </c>
      <c r="Z32" s="15">
        <f t="shared" si="47"/>
        <v>0</v>
      </c>
      <c r="AA32" s="15">
        <f t="shared" si="47"/>
        <v>0</v>
      </c>
      <c r="AB32" s="15">
        <f t="shared" si="47"/>
        <v>0</v>
      </c>
      <c r="AC32" s="15">
        <f t="shared" si="47"/>
        <v>0</v>
      </c>
      <c r="AD32" s="15">
        <f t="shared" si="47"/>
        <v>0</v>
      </c>
      <c r="AE32" s="15">
        <f t="shared" si="47"/>
        <v>0</v>
      </c>
      <c r="AF32" s="15">
        <f t="shared" si="49"/>
        <v>0</v>
      </c>
      <c r="AG32" s="15">
        <f t="shared" si="49"/>
        <v>0</v>
      </c>
      <c r="AH32" s="15">
        <f t="shared" si="49"/>
        <v>0</v>
      </c>
      <c r="AI32" s="15">
        <f t="shared" si="49"/>
        <v>0</v>
      </c>
      <c r="AJ32" s="15">
        <f t="shared" si="49"/>
        <v>0</v>
      </c>
      <c r="AK32" s="15">
        <f t="shared" si="49"/>
        <v>0</v>
      </c>
      <c r="AL32" s="15">
        <f t="shared" si="49"/>
        <v>0</v>
      </c>
      <c r="AM32" s="15">
        <f t="shared" si="49"/>
        <v>0</v>
      </c>
      <c r="AN32" s="15">
        <f t="shared" si="49"/>
        <v>0</v>
      </c>
      <c r="AO32" s="15">
        <f t="shared" si="49"/>
        <v>0</v>
      </c>
      <c r="AP32" s="46">
        <f t="shared" si="8"/>
        <v>0</v>
      </c>
      <c r="AQ32" s="15">
        <f t="shared" si="9"/>
        <v>0</v>
      </c>
      <c r="AR32" s="15">
        <f t="shared" si="10"/>
        <v>0</v>
      </c>
      <c r="AS32" s="15">
        <f t="shared" si="11"/>
        <v>0</v>
      </c>
      <c r="AT32" s="15">
        <f t="shared" si="12"/>
        <v>0</v>
      </c>
      <c r="AU32" s="15">
        <f t="shared" si="13"/>
        <v>0</v>
      </c>
      <c r="AV32" s="15">
        <f t="shared" si="14"/>
        <v>0</v>
      </c>
      <c r="AW32" s="15">
        <f t="shared" si="15"/>
        <v>0</v>
      </c>
      <c r="AX32" s="15">
        <f t="shared" si="16"/>
        <v>0</v>
      </c>
      <c r="AY32" s="15">
        <f t="shared" si="17"/>
        <v>0</v>
      </c>
      <c r="AZ32" s="15">
        <f t="shared" si="18"/>
        <v>0</v>
      </c>
      <c r="BA32" s="15">
        <f t="shared" si="19"/>
        <v>0</v>
      </c>
      <c r="BB32" s="15">
        <f t="shared" si="20"/>
        <v>0</v>
      </c>
      <c r="BC32" s="15">
        <f t="shared" si="21"/>
        <v>0</v>
      </c>
      <c r="BD32" s="15">
        <f t="shared" si="22"/>
        <v>0</v>
      </c>
      <c r="BE32" s="15">
        <f t="shared" si="23"/>
        <v>0</v>
      </c>
      <c r="BF32" s="15">
        <f t="shared" si="24"/>
        <v>0</v>
      </c>
      <c r="BG32" s="15">
        <f t="shared" si="25"/>
        <v>0</v>
      </c>
      <c r="BH32" s="15">
        <f t="shared" si="26"/>
        <v>0</v>
      </c>
      <c r="BI32" s="15">
        <f t="shared" si="27"/>
        <v>0</v>
      </c>
      <c r="BJ32" s="15">
        <f t="shared" si="28"/>
        <v>0</v>
      </c>
      <c r="BK32" s="15">
        <f t="shared" si="29"/>
        <v>0</v>
      </c>
      <c r="BL32" s="15">
        <f t="shared" si="30"/>
        <v>0</v>
      </c>
      <c r="BM32" s="15">
        <f t="shared" si="31"/>
        <v>0</v>
      </c>
      <c r="BN32" s="15">
        <f t="shared" si="32"/>
        <v>0</v>
      </c>
      <c r="BO32" s="15">
        <f t="shared" si="33"/>
        <v>0</v>
      </c>
      <c r="BP32" s="15">
        <f t="shared" si="34"/>
        <v>0</v>
      </c>
      <c r="BQ32" s="15">
        <f t="shared" si="35"/>
        <v>0</v>
      </c>
      <c r="BR32" s="15">
        <f t="shared" si="36"/>
        <v>0</v>
      </c>
      <c r="BS32" s="15">
        <f t="shared" si="37"/>
        <v>0</v>
      </c>
      <c r="BT32" s="23">
        <f t="shared" si="38"/>
        <v>0</v>
      </c>
      <c r="BU32" s="23">
        <f t="shared" si="39"/>
        <v>0</v>
      </c>
      <c r="BV32" s="15">
        <f t="shared" si="40"/>
        <v>21</v>
      </c>
      <c r="BW32" s="15">
        <f t="shared" si="41"/>
        <v>0</v>
      </c>
      <c r="BX32" s="15">
        <f t="shared" si="42"/>
        <v>0</v>
      </c>
    </row>
    <row r="33" spans="1:76">
      <c r="A33" s="15">
        <f t="shared" si="43"/>
        <v>22</v>
      </c>
      <c r="B33" s="41">
        <f>'[2]Esaki Haz Calcs'!B27</f>
        <v>4.0000000000000002E-4</v>
      </c>
      <c r="C33" s="41">
        <f t="shared" si="3"/>
        <v>0.99960000000000004</v>
      </c>
      <c r="D33" s="41">
        <f t="shared" si="44"/>
        <v>0.84499397851780544</v>
      </c>
      <c r="E33" s="41">
        <f t="shared" si="45"/>
        <v>3.3813284454494016E-4</v>
      </c>
      <c r="F33" s="41">
        <f t="shared" si="4"/>
        <v>4.7834754465421382E-2</v>
      </c>
      <c r="G33" s="41">
        <f t="shared" si="5"/>
        <v>0.15500602148219456</v>
      </c>
      <c r="H33" s="23">
        <f>'ContractCFsExhs1-2'!F34</f>
        <v>0</v>
      </c>
      <c r="I33" s="23">
        <f>'ContractCFsExhs1-2'!E34</f>
        <v>100</v>
      </c>
      <c r="J33" s="23">
        <f>IF('ContractCFsExhs1-2'!A34&lt;'ContractCFsExhs1-2'!$D$7,'E(CFs)30yrs'!H33+'E(CFs)30yrs'!I33,IF('ContractCFsExhs1-2'!A34&gt;'ContractCFsExhs1-2'!$D$7,0,'E(CFs)30yrs'!H33))</f>
        <v>0</v>
      </c>
      <c r="K33" s="51">
        <f t="shared" si="46"/>
        <v>0.6</v>
      </c>
      <c r="L33" s="15">
        <f t="shared" si="48"/>
        <v>0</v>
      </c>
      <c r="M33" s="15">
        <f t="shared" si="48"/>
        <v>0</v>
      </c>
      <c r="N33" s="15">
        <f t="shared" si="48"/>
        <v>0</v>
      </c>
      <c r="O33" s="15">
        <f t="shared" si="48"/>
        <v>0</v>
      </c>
      <c r="P33" s="15">
        <f t="shared" si="48"/>
        <v>0</v>
      </c>
      <c r="Q33" s="15">
        <f t="shared" si="48"/>
        <v>0</v>
      </c>
      <c r="R33" s="15">
        <f t="shared" si="48"/>
        <v>0</v>
      </c>
      <c r="S33" s="15">
        <f t="shared" si="48"/>
        <v>0</v>
      </c>
      <c r="T33" s="15">
        <f t="shared" si="48"/>
        <v>0</v>
      </c>
      <c r="U33" s="15">
        <f t="shared" si="48"/>
        <v>0</v>
      </c>
      <c r="V33" s="15">
        <f t="shared" si="47"/>
        <v>0</v>
      </c>
      <c r="W33" s="15">
        <f t="shared" si="47"/>
        <v>0</v>
      </c>
      <c r="X33" s="15">
        <f t="shared" si="47"/>
        <v>0</v>
      </c>
      <c r="Y33" s="15">
        <f t="shared" si="47"/>
        <v>0</v>
      </c>
      <c r="Z33" s="15">
        <f t="shared" si="47"/>
        <v>0</v>
      </c>
      <c r="AA33" s="15">
        <f t="shared" si="47"/>
        <v>0</v>
      </c>
      <c r="AB33" s="15">
        <f t="shared" si="47"/>
        <v>0</v>
      </c>
      <c r="AC33" s="15">
        <f t="shared" si="47"/>
        <v>0</v>
      </c>
      <c r="AD33" s="15">
        <f t="shared" si="47"/>
        <v>0</v>
      </c>
      <c r="AE33" s="15">
        <f t="shared" si="47"/>
        <v>0</v>
      </c>
      <c r="AF33" s="15">
        <f t="shared" si="49"/>
        <v>0</v>
      </c>
      <c r="AG33" s="15">
        <f t="shared" si="49"/>
        <v>0</v>
      </c>
      <c r="AH33" s="15">
        <f t="shared" si="49"/>
        <v>0</v>
      </c>
      <c r="AI33" s="15">
        <f t="shared" si="49"/>
        <v>0</v>
      </c>
      <c r="AJ33" s="15">
        <f t="shared" si="49"/>
        <v>0</v>
      </c>
      <c r="AK33" s="15">
        <f t="shared" si="49"/>
        <v>0</v>
      </c>
      <c r="AL33" s="15">
        <f t="shared" si="49"/>
        <v>0</v>
      </c>
      <c r="AM33" s="15">
        <f t="shared" si="49"/>
        <v>0</v>
      </c>
      <c r="AN33" s="15">
        <f t="shared" si="49"/>
        <v>0</v>
      </c>
      <c r="AO33" s="15">
        <f t="shared" si="49"/>
        <v>0</v>
      </c>
      <c r="AP33" s="46">
        <f t="shared" si="8"/>
        <v>0</v>
      </c>
      <c r="AQ33" s="15">
        <f t="shared" si="9"/>
        <v>0</v>
      </c>
      <c r="AR33" s="15">
        <f t="shared" si="10"/>
        <v>0</v>
      </c>
      <c r="AS33" s="15">
        <f t="shared" si="11"/>
        <v>0</v>
      </c>
      <c r="AT33" s="15">
        <f t="shared" si="12"/>
        <v>0</v>
      </c>
      <c r="AU33" s="15">
        <f t="shared" si="13"/>
        <v>0</v>
      </c>
      <c r="AV33" s="15">
        <f t="shared" si="14"/>
        <v>0</v>
      </c>
      <c r="AW33" s="15">
        <f t="shared" si="15"/>
        <v>0</v>
      </c>
      <c r="AX33" s="15">
        <f t="shared" si="16"/>
        <v>0</v>
      </c>
      <c r="AY33" s="15">
        <f t="shared" si="17"/>
        <v>0</v>
      </c>
      <c r="AZ33" s="15">
        <f t="shared" si="18"/>
        <v>0</v>
      </c>
      <c r="BA33" s="15">
        <f t="shared" si="19"/>
        <v>0</v>
      </c>
      <c r="BB33" s="15">
        <f t="shared" si="20"/>
        <v>0</v>
      </c>
      <c r="BC33" s="15">
        <f t="shared" si="21"/>
        <v>0</v>
      </c>
      <c r="BD33" s="15">
        <f t="shared" si="22"/>
        <v>0</v>
      </c>
      <c r="BE33" s="15">
        <f t="shared" si="23"/>
        <v>0</v>
      </c>
      <c r="BF33" s="15">
        <f t="shared" si="24"/>
        <v>0</v>
      </c>
      <c r="BG33" s="15">
        <f t="shared" si="25"/>
        <v>0</v>
      </c>
      <c r="BH33" s="15">
        <f t="shared" si="26"/>
        <v>0</v>
      </c>
      <c r="BI33" s="15">
        <f t="shared" si="27"/>
        <v>0</v>
      </c>
      <c r="BJ33" s="15">
        <f t="shared" si="28"/>
        <v>0</v>
      </c>
      <c r="BK33" s="15">
        <f t="shared" si="29"/>
        <v>0</v>
      </c>
      <c r="BL33" s="15">
        <f t="shared" si="30"/>
        <v>0</v>
      </c>
      <c r="BM33" s="15">
        <f t="shared" si="31"/>
        <v>0</v>
      </c>
      <c r="BN33" s="15">
        <f t="shared" si="32"/>
        <v>0</v>
      </c>
      <c r="BO33" s="15">
        <f t="shared" si="33"/>
        <v>0</v>
      </c>
      <c r="BP33" s="15">
        <f t="shared" si="34"/>
        <v>0</v>
      </c>
      <c r="BQ33" s="15">
        <f t="shared" si="35"/>
        <v>0</v>
      </c>
      <c r="BR33" s="15">
        <f t="shared" si="36"/>
        <v>0</v>
      </c>
      <c r="BS33" s="15">
        <f t="shared" si="37"/>
        <v>0</v>
      </c>
      <c r="BT33" s="23">
        <f t="shared" si="38"/>
        <v>0</v>
      </c>
      <c r="BU33" s="23">
        <f t="shared" si="39"/>
        <v>0</v>
      </c>
      <c r="BV33" s="15">
        <f t="shared" si="40"/>
        <v>22</v>
      </c>
      <c r="BW33" s="15">
        <f t="shared" si="41"/>
        <v>0</v>
      </c>
      <c r="BX33" s="15">
        <f t="shared" si="42"/>
        <v>0</v>
      </c>
    </row>
    <row r="34" spans="1:76">
      <c r="A34" s="15">
        <f t="shared" si="43"/>
        <v>23</v>
      </c>
      <c r="B34" s="41">
        <f>'[2]Esaki Haz Calcs'!B28</f>
        <v>1E-4</v>
      </c>
      <c r="C34" s="41">
        <f t="shared" si="3"/>
        <v>0.99990000000000001</v>
      </c>
      <c r="D34" s="41">
        <f t="shared" si="44"/>
        <v>0.84490947911995362</v>
      </c>
      <c r="E34" s="41">
        <f t="shared" si="45"/>
        <v>8.4499397851780551E-5</v>
      </c>
      <c r="F34" s="41">
        <f t="shared" si="4"/>
        <v>1.2497264465495568E-2</v>
      </c>
      <c r="G34" s="41">
        <f t="shared" si="5"/>
        <v>0.15509052088004638</v>
      </c>
      <c r="H34" s="23">
        <f>'ContractCFsExhs1-2'!F35</f>
        <v>0</v>
      </c>
      <c r="I34" s="23">
        <f>'ContractCFsExhs1-2'!E35</f>
        <v>100</v>
      </c>
      <c r="J34" s="23">
        <f>IF('ContractCFsExhs1-2'!A35&lt;'ContractCFsExhs1-2'!$D$7,'E(CFs)30yrs'!H34+'E(CFs)30yrs'!I34,IF('ContractCFsExhs1-2'!A35&gt;'ContractCFsExhs1-2'!$D$7,0,'E(CFs)30yrs'!H34))</f>
        <v>0</v>
      </c>
      <c r="K34" s="51">
        <f t="shared" si="46"/>
        <v>0.6</v>
      </c>
      <c r="L34" s="15">
        <f t="shared" si="48"/>
        <v>0</v>
      </c>
      <c r="M34" s="15">
        <f t="shared" si="48"/>
        <v>0</v>
      </c>
      <c r="N34" s="15">
        <f t="shared" si="48"/>
        <v>0</v>
      </c>
      <c r="O34" s="15">
        <f t="shared" si="48"/>
        <v>0</v>
      </c>
      <c r="P34" s="15">
        <f t="shared" si="48"/>
        <v>0</v>
      </c>
      <c r="Q34" s="15">
        <f t="shared" si="48"/>
        <v>0</v>
      </c>
      <c r="R34" s="15">
        <f t="shared" si="48"/>
        <v>0</v>
      </c>
      <c r="S34" s="15">
        <f t="shared" si="48"/>
        <v>0</v>
      </c>
      <c r="T34" s="15">
        <f t="shared" si="48"/>
        <v>0</v>
      </c>
      <c r="U34" s="15">
        <f t="shared" si="48"/>
        <v>0</v>
      </c>
      <c r="V34" s="15">
        <f t="shared" si="47"/>
        <v>0</v>
      </c>
      <c r="W34" s="15">
        <f t="shared" si="47"/>
        <v>0</v>
      </c>
      <c r="X34" s="15">
        <f t="shared" si="47"/>
        <v>0</v>
      </c>
      <c r="Y34" s="15">
        <f t="shared" si="47"/>
        <v>0</v>
      </c>
      <c r="Z34" s="15">
        <f t="shared" si="47"/>
        <v>0</v>
      </c>
      <c r="AA34" s="15">
        <f t="shared" si="47"/>
        <v>0</v>
      </c>
      <c r="AB34" s="15">
        <f t="shared" si="47"/>
        <v>0</v>
      </c>
      <c r="AC34" s="15">
        <f t="shared" si="47"/>
        <v>0</v>
      </c>
      <c r="AD34" s="15">
        <f t="shared" si="47"/>
        <v>0</v>
      </c>
      <c r="AE34" s="15">
        <f t="shared" si="47"/>
        <v>0</v>
      </c>
      <c r="AF34" s="15">
        <f t="shared" si="49"/>
        <v>0</v>
      </c>
      <c r="AG34" s="15">
        <f t="shared" si="49"/>
        <v>0</v>
      </c>
      <c r="AH34" s="15">
        <f t="shared" si="49"/>
        <v>0</v>
      </c>
      <c r="AI34" s="15">
        <f t="shared" si="49"/>
        <v>0</v>
      </c>
      <c r="AJ34" s="15">
        <f t="shared" si="49"/>
        <v>0</v>
      </c>
      <c r="AK34" s="15">
        <f t="shared" si="49"/>
        <v>0</v>
      </c>
      <c r="AL34" s="15">
        <f t="shared" si="49"/>
        <v>0</v>
      </c>
      <c r="AM34" s="15">
        <f t="shared" si="49"/>
        <v>0</v>
      </c>
      <c r="AN34" s="15">
        <f t="shared" si="49"/>
        <v>0</v>
      </c>
      <c r="AO34" s="15">
        <f t="shared" si="49"/>
        <v>0</v>
      </c>
      <c r="AP34" s="46">
        <f t="shared" si="8"/>
        <v>0</v>
      </c>
      <c r="AQ34" s="15">
        <f t="shared" si="9"/>
        <v>0</v>
      </c>
      <c r="AR34" s="15">
        <f t="shared" si="10"/>
        <v>0</v>
      </c>
      <c r="AS34" s="15">
        <f t="shared" si="11"/>
        <v>0</v>
      </c>
      <c r="AT34" s="15">
        <f t="shared" si="12"/>
        <v>0</v>
      </c>
      <c r="AU34" s="15">
        <f t="shared" si="13"/>
        <v>0</v>
      </c>
      <c r="AV34" s="15">
        <f t="shared" si="14"/>
        <v>0</v>
      </c>
      <c r="AW34" s="15">
        <f t="shared" si="15"/>
        <v>0</v>
      </c>
      <c r="AX34" s="15">
        <f t="shared" si="16"/>
        <v>0</v>
      </c>
      <c r="AY34" s="15">
        <f t="shared" si="17"/>
        <v>0</v>
      </c>
      <c r="AZ34" s="15">
        <f t="shared" si="18"/>
        <v>0</v>
      </c>
      <c r="BA34" s="15">
        <f t="shared" si="19"/>
        <v>0</v>
      </c>
      <c r="BB34" s="15">
        <f t="shared" si="20"/>
        <v>0</v>
      </c>
      <c r="BC34" s="15">
        <f t="shared" si="21"/>
        <v>0</v>
      </c>
      <c r="BD34" s="15">
        <f t="shared" si="22"/>
        <v>0</v>
      </c>
      <c r="BE34" s="15">
        <f t="shared" si="23"/>
        <v>0</v>
      </c>
      <c r="BF34" s="15">
        <f t="shared" si="24"/>
        <v>0</v>
      </c>
      <c r="BG34" s="15">
        <f t="shared" si="25"/>
        <v>0</v>
      </c>
      <c r="BH34" s="15">
        <f t="shared" si="26"/>
        <v>0</v>
      </c>
      <c r="BI34" s="15">
        <f t="shared" si="27"/>
        <v>0</v>
      </c>
      <c r="BJ34" s="15">
        <f t="shared" si="28"/>
        <v>0</v>
      </c>
      <c r="BK34" s="15">
        <f t="shared" si="29"/>
        <v>0</v>
      </c>
      <c r="BL34" s="15">
        <f t="shared" si="30"/>
        <v>0</v>
      </c>
      <c r="BM34" s="15">
        <f t="shared" si="31"/>
        <v>0</v>
      </c>
      <c r="BN34" s="15">
        <f t="shared" si="32"/>
        <v>0</v>
      </c>
      <c r="BO34" s="15">
        <f t="shared" si="33"/>
        <v>0</v>
      </c>
      <c r="BP34" s="15">
        <f t="shared" si="34"/>
        <v>0</v>
      </c>
      <c r="BQ34" s="15">
        <f t="shared" si="35"/>
        <v>0</v>
      </c>
      <c r="BR34" s="15">
        <f t="shared" si="36"/>
        <v>0</v>
      </c>
      <c r="BS34" s="15">
        <f t="shared" si="37"/>
        <v>0</v>
      </c>
      <c r="BT34" s="23">
        <f t="shared" si="38"/>
        <v>0</v>
      </c>
      <c r="BU34" s="23">
        <f t="shared" si="39"/>
        <v>0</v>
      </c>
      <c r="BV34" s="15">
        <f t="shared" si="40"/>
        <v>23</v>
      </c>
      <c r="BW34" s="15">
        <f t="shared" si="41"/>
        <v>0</v>
      </c>
      <c r="BX34" s="15">
        <f t="shared" si="42"/>
        <v>0</v>
      </c>
    </row>
    <row r="35" spans="1:76">
      <c r="A35" s="15">
        <f t="shared" si="43"/>
        <v>24</v>
      </c>
      <c r="B35" s="41">
        <f>'[2]Esaki Haz Calcs'!B29</f>
        <v>2.0000000000000001E-4</v>
      </c>
      <c r="C35" s="41">
        <f t="shared" si="3"/>
        <v>0.99980000000000002</v>
      </c>
      <c r="D35" s="41">
        <f t="shared" si="44"/>
        <v>0.84474049722412969</v>
      </c>
      <c r="E35" s="41">
        <f t="shared" si="45"/>
        <v>1.6898189582399074E-4</v>
      </c>
      <c r="F35" s="41">
        <f t="shared" si="4"/>
        <v>2.6078639455406644E-2</v>
      </c>
      <c r="G35" s="41">
        <f t="shared" si="5"/>
        <v>0.15525950277587031</v>
      </c>
      <c r="H35" s="23">
        <f>'ContractCFsExhs1-2'!F36</f>
        <v>0</v>
      </c>
      <c r="I35" s="23">
        <f>'ContractCFsExhs1-2'!E36</f>
        <v>100</v>
      </c>
      <c r="J35" s="23">
        <f>IF('ContractCFsExhs1-2'!A36&lt;'ContractCFsExhs1-2'!$D$7,'E(CFs)30yrs'!H35+'E(CFs)30yrs'!I35,IF('ContractCFsExhs1-2'!A36&gt;'ContractCFsExhs1-2'!$D$7,0,'E(CFs)30yrs'!H35))</f>
        <v>0</v>
      </c>
      <c r="K35" s="51">
        <f t="shared" si="46"/>
        <v>0.6</v>
      </c>
      <c r="L35" s="15">
        <f t="shared" si="48"/>
        <v>0</v>
      </c>
      <c r="M35" s="15">
        <f t="shared" si="48"/>
        <v>0</v>
      </c>
      <c r="N35" s="15">
        <f t="shared" si="48"/>
        <v>0</v>
      </c>
      <c r="O35" s="15">
        <f t="shared" si="48"/>
        <v>0</v>
      </c>
      <c r="P35" s="15">
        <f t="shared" si="48"/>
        <v>0</v>
      </c>
      <c r="Q35" s="15">
        <f t="shared" si="48"/>
        <v>0</v>
      </c>
      <c r="R35" s="15">
        <f t="shared" si="48"/>
        <v>0</v>
      </c>
      <c r="S35" s="15">
        <f t="shared" si="48"/>
        <v>0</v>
      </c>
      <c r="T35" s="15">
        <f t="shared" si="48"/>
        <v>0</v>
      </c>
      <c r="U35" s="15">
        <f t="shared" si="48"/>
        <v>0</v>
      </c>
      <c r="V35" s="15">
        <f t="shared" si="47"/>
        <v>0</v>
      </c>
      <c r="W35" s="15">
        <f t="shared" si="47"/>
        <v>0</v>
      </c>
      <c r="X35" s="15">
        <f t="shared" si="47"/>
        <v>0</v>
      </c>
      <c r="Y35" s="15">
        <f t="shared" si="47"/>
        <v>0</v>
      </c>
      <c r="Z35" s="15">
        <f t="shared" si="47"/>
        <v>0</v>
      </c>
      <c r="AA35" s="15">
        <f t="shared" si="47"/>
        <v>0</v>
      </c>
      <c r="AB35" s="15">
        <f t="shared" si="47"/>
        <v>0</v>
      </c>
      <c r="AC35" s="15">
        <f t="shared" si="47"/>
        <v>0</v>
      </c>
      <c r="AD35" s="15">
        <f t="shared" si="47"/>
        <v>0</v>
      </c>
      <c r="AE35" s="15">
        <f t="shared" si="47"/>
        <v>0</v>
      </c>
      <c r="AF35" s="15">
        <f t="shared" si="49"/>
        <v>0</v>
      </c>
      <c r="AG35" s="15">
        <f t="shared" si="49"/>
        <v>0</v>
      </c>
      <c r="AH35" s="15">
        <f t="shared" si="49"/>
        <v>0</v>
      </c>
      <c r="AI35" s="15">
        <f t="shared" si="49"/>
        <v>0</v>
      </c>
      <c r="AJ35" s="15">
        <f t="shared" si="49"/>
        <v>0</v>
      </c>
      <c r="AK35" s="15">
        <f t="shared" si="49"/>
        <v>0</v>
      </c>
      <c r="AL35" s="15">
        <f t="shared" si="49"/>
        <v>0</v>
      </c>
      <c r="AM35" s="15">
        <f t="shared" si="49"/>
        <v>0</v>
      </c>
      <c r="AN35" s="15">
        <f t="shared" si="49"/>
        <v>0</v>
      </c>
      <c r="AO35" s="15">
        <f t="shared" si="49"/>
        <v>0</v>
      </c>
      <c r="AP35" s="46">
        <f t="shared" si="8"/>
        <v>0</v>
      </c>
      <c r="AQ35" s="15">
        <f t="shared" si="9"/>
        <v>0</v>
      </c>
      <c r="AR35" s="15">
        <f t="shared" si="10"/>
        <v>0</v>
      </c>
      <c r="AS35" s="15">
        <f t="shared" si="11"/>
        <v>0</v>
      </c>
      <c r="AT35" s="15">
        <f t="shared" si="12"/>
        <v>0</v>
      </c>
      <c r="AU35" s="15">
        <f t="shared" si="13"/>
        <v>0</v>
      </c>
      <c r="AV35" s="15">
        <f t="shared" si="14"/>
        <v>0</v>
      </c>
      <c r="AW35" s="15">
        <f t="shared" si="15"/>
        <v>0</v>
      </c>
      <c r="AX35" s="15">
        <f t="shared" si="16"/>
        <v>0</v>
      </c>
      <c r="AY35" s="15">
        <f t="shared" si="17"/>
        <v>0</v>
      </c>
      <c r="AZ35" s="15">
        <f t="shared" si="18"/>
        <v>0</v>
      </c>
      <c r="BA35" s="15">
        <f t="shared" si="19"/>
        <v>0</v>
      </c>
      <c r="BB35" s="15">
        <f t="shared" si="20"/>
        <v>0</v>
      </c>
      <c r="BC35" s="15">
        <f t="shared" si="21"/>
        <v>0</v>
      </c>
      <c r="BD35" s="15">
        <f t="shared" si="22"/>
        <v>0</v>
      </c>
      <c r="BE35" s="15">
        <f t="shared" si="23"/>
        <v>0</v>
      </c>
      <c r="BF35" s="15">
        <f t="shared" si="24"/>
        <v>0</v>
      </c>
      <c r="BG35" s="15">
        <f t="shared" si="25"/>
        <v>0</v>
      </c>
      <c r="BH35" s="15">
        <f t="shared" si="26"/>
        <v>0</v>
      </c>
      <c r="BI35" s="15">
        <f t="shared" si="27"/>
        <v>0</v>
      </c>
      <c r="BJ35" s="15">
        <f t="shared" si="28"/>
        <v>0</v>
      </c>
      <c r="BK35" s="15">
        <f t="shared" si="29"/>
        <v>0</v>
      </c>
      <c r="BL35" s="15">
        <f t="shared" si="30"/>
        <v>0</v>
      </c>
      <c r="BM35" s="15">
        <f t="shared" si="31"/>
        <v>0</v>
      </c>
      <c r="BN35" s="15">
        <f t="shared" si="32"/>
        <v>0</v>
      </c>
      <c r="BO35" s="15">
        <f t="shared" si="33"/>
        <v>0</v>
      </c>
      <c r="BP35" s="15">
        <f t="shared" si="34"/>
        <v>0</v>
      </c>
      <c r="BQ35" s="15">
        <f t="shared" si="35"/>
        <v>0</v>
      </c>
      <c r="BR35" s="15">
        <f t="shared" si="36"/>
        <v>0</v>
      </c>
      <c r="BS35" s="15">
        <f t="shared" si="37"/>
        <v>0</v>
      </c>
      <c r="BT35" s="23">
        <f t="shared" si="38"/>
        <v>0</v>
      </c>
      <c r="BU35" s="23">
        <f t="shared" si="39"/>
        <v>0</v>
      </c>
      <c r="BV35" s="15">
        <f t="shared" si="40"/>
        <v>24</v>
      </c>
      <c r="BW35" s="15">
        <f t="shared" si="41"/>
        <v>0</v>
      </c>
      <c r="BX35" s="15">
        <f t="shared" si="42"/>
        <v>0</v>
      </c>
    </row>
    <row r="36" spans="1:76">
      <c r="A36" s="15">
        <f t="shared" si="43"/>
        <v>25</v>
      </c>
      <c r="B36" s="41">
        <f>'[2]Esaki Haz Calcs'!B30</f>
        <v>0</v>
      </c>
      <c r="C36" s="41">
        <f t="shared" si="3"/>
        <v>1</v>
      </c>
      <c r="D36" s="41">
        <f t="shared" si="44"/>
        <v>0.84474049722412969</v>
      </c>
      <c r="E36" s="41">
        <f t="shared" si="45"/>
        <v>0</v>
      </c>
      <c r="F36" s="41">
        <f t="shared" si="4"/>
        <v>0</v>
      </c>
      <c r="G36" s="41">
        <f t="shared" si="5"/>
        <v>0.15525950277587031</v>
      </c>
      <c r="H36" s="23">
        <f>'ContractCFsExhs1-2'!F37</f>
        <v>0</v>
      </c>
      <c r="I36" s="23">
        <f>'ContractCFsExhs1-2'!E37</f>
        <v>100</v>
      </c>
      <c r="J36" s="23">
        <f>IF('ContractCFsExhs1-2'!A37&lt;'ContractCFsExhs1-2'!$D$7,'E(CFs)30yrs'!H36+'E(CFs)30yrs'!I36,IF('ContractCFsExhs1-2'!A37&gt;'ContractCFsExhs1-2'!$D$7,0,'E(CFs)30yrs'!H36))</f>
        <v>0</v>
      </c>
      <c r="K36" s="51">
        <f t="shared" si="46"/>
        <v>0.6</v>
      </c>
      <c r="L36" s="15">
        <f t="shared" si="48"/>
        <v>0</v>
      </c>
      <c r="M36" s="15">
        <f t="shared" si="48"/>
        <v>0</v>
      </c>
      <c r="N36" s="15">
        <f t="shared" si="48"/>
        <v>0</v>
      </c>
      <c r="O36" s="15">
        <f t="shared" si="48"/>
        <v>0</v>
      </c>
      <c r="P36" s="15">
        <f t="shared" si="48"/>
        <v>0</v>
      </c>
      <c r="Q36" s="15">
        <f t="shared" si="48"/>
        <v>0</v>
      </c>
      <c r="R36" s="15">
        <f t="shared" si="48"/>
        <v>0</v>
      </c>
      <c r="S36" s="15">
        <f t="shared" si="48"/>
        <v>0</v>
      </c>
      <c r="T36" s="15">
        <f t="shared" si="48"/>
        <v>0</v>
      </c>
      <c r="U36" s="15">
        <f t="shared" si="48"/>
        <v>0</v>
      </c>
      <c r="V36" s="15">
        <f t="shared" si="47"/>
        <v>0</v>
      </c>
      <c r="W36" s="15">
        <f t="shared" si="47"/>
        <v>0</v>
      </c>
      <c r="X36" s="15">
        <f t="shared" si="47"/>
        <v>0</v>
      </c>
      <c r="Y36" s="15">
        <f t="shared" si="47"/>
        <v>0</v>
      </c>
      <c r="Z36" s="15">
        <f t="shared" si="47"/>
        <v>0</v>
      </c>
      <c r="AA36" s="15">
        <f t="shared" si="47"/>
        <v>0</v>
      </c>
      <c r="AB36" s="15">
        <f t="shared" si="47"/>
        <v>0</v>
      </c>
      <c r="AC36" s="15">
        <f t="shared" si="47"/>
        <v>0</v>
      </c>
      <c r="AD36" s="15">
        <f t="shared" si="47"/>
        <v>0</v>
      </c>
      <c r="AE36" s="15">
        <f t="shared" si="47"/>
        <v>0</v>
      </c>
      <c r="AF36" s="15">
        <f t="shared" si="49"/>
        <v>0</v>
      </c>
      <c r="AG36" s="15">
        <f t="shared" si="49"/>
        <v>0</v>
      </c>
      <c r="AH36" s="15">
        <f t="shared" si="49"/>
        <v>0</v>
      </c>
      <c r="AI36" s="15">
        <f t="shared" si="49"/>
        <v>0</v>
      </c>
      <c r="AJ36" s="15">
        <f t="shared" si="49"/>
        <v>0</v>
      </c>
      <c r="AK36" s="15">
        <f t="shared" si="49"/>
        <v>0</v>
      </c>
      <c r="AL36" s="15">
        <f t="shared" si="49"/>
        <v>0</v>
      </c>
      <c r="AM36" s="15">
        <f t="shared" si="49"/>
        <v>0</v>
      </c>
      <c r="AN36" s="15">
        <f t="shared" si="49"/>
        <v>0</v>
      </c>
      <c r="AO36" s="15">
        <f t="shared" si="49"/>
        <v>0</v>
      </c>
      <c r="AP36" s="46">
        <f t="shared" si="8"/>
        <v>0</v>
      </c>
      <c r="AQ36" s="15">
        <f t="shared" si="9"/>
        <v>0</v>
      </c>
      <c r="AR36" s="15">
        <f t="shared" si="10"/>
        <v>0</v>
      </c>
      <c r="AS36" s="15">
        <f t="shared" si="11"/>
        <v>0</v>
      </c>
      <c r="AT36" s="15">
        <f t="shared" si="12"/>
        <v>0</v>
      </c>
      <c r="AU36" s="15">
        <f t="shared" si="13"/>
        <v>0</v>
      </c>
      <c r="AV36" s="15">
        <f t="shared" si="14"/>
        <v>0</v>
      </c>
      <c r="AW36" s="15">
        <f t="shared" si="15"/>
        <v>0</v>
      </c>
      <c r="AX36" s="15">
        <f t="shared" si="16"/>
        <v>0</v>
      </c>
      <c r="AY36" s="15">
        <f t="shared" si="17"/>
        <v>0</v>
      </c>
      <c r="AZ36" s="15">
        <f t="shared" si="18"/>
        <v>0</v>
      </c>
      <c r="BA36" s="15">
        <f t="shared" si="19"/>
        <v>0</v>
      </c>
      <c r="BB36" s="15">
        <f t="shared" si="20"/>
        <v>0</v>
      </c>
      <c r="BC36" s="15">
        <f t="shared" si="21"/>
        <v>0</v>
      </c>
      <c r="BD36" s="15">
        <f t="shared" si="22"/>
        <v>0</v>
      </c>
      <c r="BE36" s="15">
        <f t="shared" si="23"/>
        <v>0</v>
      </c>
      <c r="BF36" s="15">
        <f t="shared" si="24"/>
        <v>0</v>
      </c>
      <c r="BG36" s="15">
        <f t="shared" si="25"/>
        <v>0</v>
      </c>
      <c r="BH36" s="15">
        <f t="shared" si="26"/>
        <v>0</v>
      </c>
      <c r="BI36" s="15">
        <f t="shared" si="27"/>
        <v>0</v>
      </c>
      <c r="BJ36" s="15">
        <f t="shared" si="28"/>
        <v>0</v>
      </c>
      <c r="BK36" s="15">
        <f t="shared" si="29"/>
        <v>0</v>
      </c>
      <c r="BL36" s="15">
        <f t="shared" si="30"/>
        <v>0</v>
      </c>
      <c r="BM36" s="15">
        <f t="shared" si="31"/>
        <v>0</v>
      </c>
      <c r="BN36" s="15">
        <f t="shared" si="32"/>
        <v>0</v>
      </c>
      <c r="BO36" s="15">
        <f t="shared" si="33"/>
        <v>0</v>
      </c>
      <c r="BP36" s="15">
        <f t="shared" si="34"/>
        <v>0</v>
      </c>
      <c r="BQ36" s="15">
        <f t="shared" si="35"/>
        <v>0</v>
      </c>
      <c r="BR36" s="15">
        <f t="shared" si="36"/>
        <v>0</v>
      </c>
      <c r="BS36" s="15">
        <f t="shared" si="37"/>
        <v>0</v>
      </c>
      <c r="BT36" s="23">
        <f t="shared" si="38"/>
        <v>0</v>
      </c>
      <c r="BU36" s="23">
        <f t="shared" si="39"/>
        <v>0</v>
      </c>
      <c r="BV36" s="15">
        <f t="shared" si="40"/>
        <v>25</v>
      </c>
      <c r="BW36" s="15">
        <f t="shared" si="41"/>
        <v>0</v>
      </c>
      <c r="BX36" s="15">
        <f t="shared" si="42"/>
        <v>0</v>
      </c>
    </row>
    <row r="37" spans="1:76">
      <c r="A37" s="15">
        <f t="shared" si="43"/>
        <v>26</v>
      </c>
      <c r="B37" s="41">
        <f>'[2]Esaki Haz Calcs'!B31</f>
        <v>2.9999999999999997E-4</v>
      </c>
      <c r="C37" s="41">
        <f t="shared" si="3"/>
        <v>0.99970000000000003</v>
      </c>
      <c r="D37" s="41">
        <f t="shared" si="44"/>
        <v>0.84448707507496246</v>
      </c>
      <c r="E37" s="41">
        <f t="shared" si="45"/>
        <v>2.5342214916723889E-4</v>
      </c>
      <c r="F37" s="41">
        <f t="shared" si="4"/>
        <v>4.2369313557212782E-2</v>
      </c>
      <c r="G37" s="41">
        <f t="shared" si="5"/>
        <v>0.15551292492503754</v>
      </c>
      <c r="H37" s="23">
        <f>'ContractCFsExhs1-2'!F38</f>
        <v>0</v>
      </c>
      <c r="I37" s="23">
        <f>'ContractCFsExhs1-2'!E38</f>
        <v>100</v>
      </c>
      <c r="J37" s="23">
        <f>IF('ContractCFsExhs1-2'!A38&lt;'ContractCFsExhs1-2'!$D$7,'E(CFs)30yrs'!H37+'E(CFs)30yrs'!I37,IF('ContractCFsExhs1-2'!A38&gt;'ContractCFsExhs1-2'!$D$7,0,'E(CFs)30yrs'!H37))</f>
        <v>0</v>
      </c>
      <c r="K37" s="51">
        <f t="shared" si="46"/>
        <v>0.6</v>
      </c>
      <c r="L37" s="15">
        <f t="shared" si="48"/>
        <v>0</v>
      </c>
      <c r="M37" s="15">
        <f t="shared" si="48"/>
        <v>0</v>
      </c>
      <c r="N37" s="15">
        <f t="shared" si="48"/>
        <v>0</v>
      </c>
      <c r="O37" s="15">
        <f t="shared" si="48"/>
        <v>0</v>
      </c>
      <c r="P37" s="15">
        <f t="shared" si="48"/>
        <v>0</v>
      </c>
      <c r="Q37" s="15">
        <f t="shared" si="48"/>
        <v>0</v>
      </c>
      <c r="R37" s="15">
        <f t="shared" si="48"/>
        <v>0</v>
      </c>
      <c r="S37" s="15">
        <f t="shared" si="48"/>
        <v>0</v>
      </c>
      <c r="T37" s="15">
        <f t="shared" si="48"/>
        <v>0</v>
      </c>
      <c r="U37" s="15">
        <f t="shared" si="48"/>
        <v>0</v>
      </c>
      <c r="V37" s="15">
        <f t="shared" si="47"/>
        <v>0</v>
      </c>
      <c r="W37" s="15">
        <f t="shared" si="47"/>
        <v>0</v>
      </c>
      <c r="X37" s="15">
        <f t="shared" si="47"/>
        <v>0</v>
      </c>
      <c r="Y37" s="15">
        <f t="shared" si="47"/>
        <v>0</v>
      </c>
      <c r="Z37" s="15">
        <f t="shared" si="47"/>
        <v>0</v>
      </c>
      <c r="AA37" s="15">
        <f t="shared" si="47"/>
        <v>0</v>
      </c>
      <c r="AB37" s="15">
        <f t="shared" si="47"/>
        <v>0</v>
      </c>
      <c r="AC37" s="15">
        <f t="shared" si="47"/>
        <v>0</v>
      </c>
      <c r="AD37" s="15">
        <f t="shared" si="47"/>
        <v>0</v>
      </c>
      <c r="AE37" s="15">
        <f t="shared" si="47"/>
        <v>0</v>
      </c>
      <c r="AF37" s="15">
        <f t="shared" si="49"/>
        <v>0</v>
      </c>
      <c r="AG37" s="15">
        <f t="shared" si="49"/>
        <v>0</v>
      </c>
      <c r="AH37" s="15">
        <f t="shared" si="49"/>
        <v>0</v>
      </c>
      <c r="AI37" s="15">
        <f t="shared" si="49"/>
        <v>0</v>
      </c>
      <c r="AJ37" s="15">
        <f t="shared" si="49"/>
        <v>0</v>
      </c>
      <c r="AK37" s="15">
        <f t="shared" si="49"/>
        <v>0</v>
      </c>
      <c r="AL37" s="15">
        <f t="shared" si="49"/>
        <v>0</v>
      </c>
      <c r="AM37" s="15">
        <f t="shared" si="49"/>
        <v>0</v>
      </c>
      <c r="AN37" s="15">
        <f t="shared" si="49"/>
        <v>0</v>
      </c>
      <c r="AO37" s="15">
        <f t="shared" si="49"/>
        <v>0</v>
      </c>
      <c r="AP37" s="46">
        <f t="shared" si="8"/>
        <v>0</v>
      </c>
      <c r="AQ37" s="15">
        <f t="shared" si="9"/>
        <v>0</v>
      </c>
      <c r="AR37" s="15">
        <f t="shared" si="10"/>
        <v>0</v>
      </c>
      <c r="AS37" s="15">
        <f t="shared" si="11"/>
        <v>0</v>
      </c>
      <c r="AT37" s="15">
        <f t="shared" si="12"/>
        <v>0</v>
      </c>
      <c r="AU37" s="15">
        <f t="shared" si="13"/>
        <v>0</v>
      </c>
      <c r="AV37" s="15">
        <f t="shared" si="14"/>
        <v>0</v>
      </c>
      <c r="AW37" s="15">
        <f t="shared" si="15"/>
        <v>0</v>
      </c>
      <c r="AX37" s="15">
        <f t="shared" si="16"/>
        <v>0</v>
      </c>
      <c r="AY37" s="15">
        <f t="shared" si="17"/>
        <v>0</v>
      </c>
      <c r="AZ37" s="15">
        <f t="shared" si="18"/>
        <v>0</v>
      </c>
      <c r="BA37" s="15">
        <f t="shared" si="19"/>
        <v>0</v>
      </c>
      <c r="BB37" s="15">
        <f t="shared" si="20"/>
        <v>0</v>
      </c>
      <c r="BC37" s="15">
        <f t="shared" si="21"/>
        <v>0</v>
      </c>
      <c r="BD37" s="15">
        <f t="shared" si="22"/>
        <v>0</v>
      </c>
      <c r="BE37" s="15">
        <f t="shared" si="23"/>
        <v>0</v>
      </c>
      <c r="BF37" s="15">
        <f t="shared" si="24"/>
        <v>0</v>
      </c>
      <c r="BG37" s="15">
        <f t="shared" si="25"/>
        <v>0</v>
      </c>
      <c r="BH37" s="15">
        <f t="shared" si="26"/>
        <v>0</v>
      </c>
      <c r="BI37" s="15">
        <f t="shared" si="27"/>
        <v>0</v>
      </c>
      <c r="BJ37" s="15">
        <f t="shared" si="28"/>
        <v>0</v>
      </c>
      <c r="BK37" s="15">
        <f t="shared" si="29"/>
        <v>0</v>
      </c>
      <c r="BL37" s="15">
        <f t="shared" si="30"/>
        <v>0</v>
      </c>
      <c r="BM37" s="15">
        <f t="shared" si="31"/>
        <v>0</v>
      </c>
      <c r="BN37" s="15">
        <f t="shared" si="32"/>
        <v>0</v>
      </c>
      <c r="BO37" s="15">
        <f t="shared" si="33"/>
        <v>0</v>
      </c>
      <c r="BP37" s="15">
        <f t="shared" si="34"/>
        <v>0</v>
      </c>
      <c r="BQ37" s="15">
        <f t="shared" si="35"/>
        <v>0</v>
      </c>
      <c r="BR37" s="15">
        <f t="shared" si="36"/>
        <v>0</v>
      </c>
      <c r="BS37" s="15">
        <f t="shared" si="37"/>
        <v>0</v>
      </c>
      <c r="BT37" s="23">
        <f t="shared" si="38"/>
        <v>0</v>
      </c>
      <c r="BU37" s="23">
        <f t="shared" si="39"/>
        <v>0</v>
      </c>
      <c r="BV37" s="15">
        <f t="shared" si="40"/>
        <v>26</v>
      </c>
      <c r="BW37" s="15">
        <f t="shared" si="41"/>
        <v>0</v>
      </c>
      <c r="BX37" s="15">
        <f t="shared" si="42"/>
        <v>0</v>
      </c>
    </row>
    <row r="38" spans="1:76">
      <c r="A38" s="15">
        <f t="shared" si="43"/>
        <v>27</v>
      </c>
      <c r="B38" s="41">
        <f>'[2]Esaki Haz Calcs'!B32</f>
        <v>0</v>
      </c>
      <c r="C38" s="41">
        <f t="shared" si="3"/>
        <v>1</v>
      </c>
      <c r="D38" s="41">
        <f t="shared" si="44"/>
        <v>0.84448707507496246</v>
      </c>
      <c r="E38" s="41">
        <f t="shared" si="45"/>
        <v>0</v>
      </c>
      <c r="F38" s="41">
        <f t="shared" si="4"/>
        <v>0</v>
      </c>
      <c r="G38" s="41">
        <f t="shared" si="5"/>
        <v>0.15551292492503754</v>
      </c>
      <c r="H38" s="23">
        <f>'ContractCFsExhs1-2'!F39</f>
        <v>0</v>
      </c>
      <c r="I38" s="23">
        <f>'ContractCFsExhs1-2'!E39</f>
        <v>100</v>
      </c>
      <c r="J38" s="23">
        <f>IF('ContractCFsExhs1-2'!A39&lt;'ContractCFsExhs1-2'!$D$7,'E(CFs)30yrs'!H38+'E(CFs)30yrs'!I38,IF('ContractCFsExhs1-2'!A39&gt;'ContractCFsExhs1-2'!$D$7,0,'E(CFs)30yrs'!H38))</f>
        <v>0</v>
      </c>
      <c r="K38" s="51">
        <f t="shared" si="46"/>
        <v>0.6</v>
      </c>
      <c r="L38" s="15">
        <f t="shared" si="48"/>
        <v>0</v>
      </c>
      <c r="M38" s="15">
        <f t="shared" si="48"/>
        <v>0</v>
      </c>
      <c r="N38" s="15">
        <f t="shared" si="48"/>
        <v>0</v>
      </c>
      <c r="O38" s="15">
        <f t="shared" si="48"/>
        <v>0</v>
      </c>
      <c r="P38" s="15">
        <f t="shared" si="48"/>
        <v>0</v>
      </c>
      <c r="Q38" s="15">
        <f t="shared" si="48"/>
        <v>0</v>
      </c>
      <c r="R38" s="15">
        <f t="shared" si="48"/>
        <v>0</v>
      </c>
      <c r="S38" s="15">
        <f t="shared" si="48"/>
        <v>0</v>
      </c>
      <c r="T38" s="15">
        <f t="shared" si="48"/>
        <v>0</v>
      </c>
      <c r="U38" s="15">
        <f t="shared" si="48"/>
        <v>0</v>
      </c>
      <c r="V38" s="15">
        <f t="shared" si="47"/>
        <v>0</v>
      </c>
      <c r="W38" s="15">
        <f t="shared" si="47"/>
        <v>0</v>
      </c>
      <c r="X38" s="15">
        <f t="shared" si="47"/>
        <v>0</v>
      </c>
      <c r="Y38" s="15">
        <f t="shared" si="47"/>
        <v>0</v>
      </c>
      <c r="Z38" s="15">
        <f t="shared" si="47"/>
        <v>0</v>
      </c>
      <c r="AA38" s="15">
        <f t="shared" si="47"/>
        <v>0</v>
      </c>
      <c r="AB38" s="15">
        <f t="shared" si="47"/>
        <v>0</v>
      </c>
      <c r="AC38" s="15">
        <f t="shared" si="47"/>
        <v>0</v>
      </c>
      <c r="AD38" s="15">
        <f t="shared" si="47"/>
        <v>0</v>
      </c>
      <c r="AE38" s="15">
        <f t="shared" si="47"/>
        <v>0</v>
      </c>
      <c r="AF38" s="15">
        <f t="shared" si="49"/>
        <v>0</v>
      </c>
      <c r="AG38" s="15">
        <f t="shared" si="49"/>
        <v>0</v>
      </c>
      <c r="AH38" s="15">
        <f t="shared" si="49"/>
        <v>0</v>
      </c>
      <c r="AI38" s="15">
        <f t="shared" si="49"/>
        <v>0</v>
      </c>
      <c r="AJ38" s="15">
        <f t="shared" si="49"/>
        <v>0</v>
      </c>
      <c r="AK38" s="15">
        <f t="shared" si="49"/>
        <v>0</v>
      </c>
      <c r="AL38" s="15">
        <f t="shared" si="49"/>
        <v>0</v>
      </c>
      <c r="AM38" s="15">
        <f t="shared" si="49"/>
        <v>0</v>
      </c>
      <c r="AN38" s="15">
        <f t="shared" si="49"/>
        <v>0</v>
      </c>
      <c r="AO38" s="15">
        <f t="shared" si="49"/>
        <v>0</v>
      </c>
      <c r="AP38" s="46">
        <f t="shared" si="8"/>
        <v>0</v>
      </c>
      <c r="AQ38" s="15">
        <f t="shared" si="9"/>
        <v>0</v>
      </c>
      <c r="AR38" s="15">
        <f t="shared" si="10"/>
        <v>0</v>
      </c>
      <c r="AS38" s="15">
        <f t="shared" si="11"/>
        <v>0</v>
      </c>
      <c r="AT38" s="15">
        <f t="shared" si="12"/>
        <v>0</v>
      </c>
      <c r="AU38" s="15">
        <f t="shared" si="13"/>
        <v>0</v>
      </c>
      <c r="AV38" s="15">
        <f t="shared" si="14"/>
        <v>0</v>
      </c>
      <c r="AW38" s="15">
        <f t="shared" si="15"/>
        <v>0</v>
      </c>
      <c r="AX38" s="15">
        <f t="shared" si="16"/>
        <v>0</v>
      </c>
      <c r="AY38" s="15">
        <f t="shared" si="17"/>
        <v>0</v>
      </c>
      <c r="AZ38" s="15">
        <f t="shared" si="18"/>
        <v>0</v>
      </c>
      <c r="BA38" s="15">
        <f t="shared" si="19"/>
        <v>0</v>
      </c>
      <c r="BB38" s="15">
        <f t="shared" si="20"/>
        <v>0</v>
      </c>
      <c r="BC38" s="15">
        <f t="shared" si="21"/>
        <v>0</v>
      </c>
      <c r="BD38" s="15">
        <f t="shared" si="22"/>
        <v>0</v>
      </c>
      <c r="BE38" s="15">
        <f t="shared" si="23"/>
        <v>0</v>
      </c>
      <c r="BF38" s="15">
        <f t="shared" si="24"/>
        <v>0</v>
      </c>
      <c r="BG38" s="15">
        <f t="shared" si="25"/>
        <v>0</v>
      </c>
      <c r="BH38" s="15">
        <f t="shared" si="26"/>
        <v>0</v>
      </c>
      <c r="BI38" s="15">
        <f t="shared" si="27"/>
        <v>0</v>
      </c>
      <c r="BJ38" s="15">
        <f t="shared" si="28"/>
        <v>0</v>
      </c>
      <c r="BK38" s="15">
        <f t="shared" si="29"/>
        <v>0</v>
      </c>
      <c r="BL38" s="15">
        <f t="shared" si="30"/>
        <v>0</v>
      </c>
      <c r="BM38" s="15">
        <f t="shared" si="31"/>
        <v>0</v>
      </c>
      <c r="BN38" s="15">
        <f t="shared" si="32"/>
        <v>0</v>
      </c>
      <c r="BO38" s="15">
        <f t="shared" si="33"/>
        <v>0</v>
      </c>
      <c r="BP38" s="15">
        <f t="shared" si="34"/>
        <v>0</v>
      </c>
      <c r="BQ38" s="15">
        <f t="shared" si="35"/>
        <v>0</v>
      </c>
      <c r="BR38" s="15">
        <f t="shared" si="36"/>
        <v>0</v>
      </c>
      <c r="BS38" s="15">
        <f t="shared" si="37"/>
        <v>0</v>
      </c>
      <c r="BT38" s="23">
        <f t="shared" si="38"/>
        <v>0</v>
      </c>
      <c r="BU38" s="23">
        <f t="shared" si="39"/>
        <v>0</v>
      </c>
      <c r="BV38" s="15">
        <f t="shared" si="40"/>
        <v>27</v>
      </c>
      <c r="BW38" s="15">
        <f t="shared" si="41"/>
        <v>0</v>
      </c>
      <c r="BX38" s="15">
        <f t="shared" si="42"/>
        <v>0</v>
      </c>
    </row>
    <row r="39" spans="1:76">
      <c r="A39" s="15">
        <f t="shared" si="43"/>
        <v>28</v>
      </c>
      <c r="B39" s="41">
        <f>'[2]Esaki Haz Calcs'!B33</f>
        <v>0</v>
      </c>
      <c r="C39" s="41">
        <f t="shared" si="3"/>
        <v>1</v>
      </c>
      <c r="D39" s="41">
        <f t="shared" si="44"/>
        <v>0.84448707507496246</v>
      </c>
      <c r="E39" s="41">
        <f t="shared" si="45"/>
        <v>0</v>
      </c>
      <c r="F39" s="41">
        <f t="shared" si="4"/>
        <v>0</v>
      </c>
      <c r="G39" s="41">
        <f t="shared" si="5"/>
        <v>0.15551292492503754</v>
      </c>
      <c r="H39" s="23">
        <f>'ContractCFsExhs1-2'!F40</f>
        <v>0</v>
      </c>
      <c r="I39" s="23">
        <f>'ContractCFsExhs1-2'!E40</f>
        <v>100</v>
      </c>
      <c r="J39" s="23">
        <f>IF('ContractCFsExhs1-2'!A40&lt;'ContractCFsExhs1-2'!$D$7,'E(CFs)30yrs'!H39+'E(CFs)30yrs'!I39,IF('ContractCFsExhs1-2'!A40&gt;'ContractCFsExhs1-2'!$D$7,0,'E(CFs)30yrs'!H39))</f>
        <v>0</v>
      </c>
      <c r="K39" s="51">
        <f t="shared" si="46"/>
        <v>0.6</v>
      </c>
      <c r="L39" s="15">
        <f t="shared" si="48"/>
        <v>0</v>
      </c>
      <c r="M39" s="15">
        <f t="shared" si="48"/>
        <v>0</v>
      </c>
      <c r="N39" s="15">
        <f t="shared" si="48"/>
        <v>0</v>
      </c>
      <c r="O39" s="15">
        <f t="shared" si="48"/>
        <v>0</v>
      </c>
      <c r="P39" s="15">
        <f t="shared" si="48"/>
        <v>0</v>
      </c>
      <c r="Q39" s="15">
        <f t="shared" si="48"/>
        <v>0</v>
      </c>
      <c r="R39" s="15">
        <f t="shared" si="48"/>
        <v>0</v>
      </c>
      <c r="S39" s="15">
        <f t="shared" si="48"/>
        <v>0</v>
      </c>
      <c r="T39" s="15">
        <f t="shared" si="48"/>
        <v>0</v>
      </c>
      <c r="U39" s="15">
        <f t="shared" si="48"/>
        <v>0</v>
      </c>
      <c r="V39" s="15">
        <f t="shared" si="47"/>
        <v>0</v>
      </c>
      <c r="W39" s="15">
        <f t="shared" si="47"/>
        <v>0</v>
      </c>
      <c r="X39" s="15">
        <f t="shared" si="47"/>
        <v>0</v>
      </c>
      <c r="Y39" s="15">
        <f t="shared" si="47"/>
        <v>0</v>
      </c>
      <c r="Z39" s="15">
        <f t="shared" si="47"/>
        <v>0</v>
      </c>
      <c r="AA39" s="15">
        <f t="shared" si="47"/>
        <v>0</v>
      </c>
      <c r="AB39" s="15">
        <f t="shared" si="47"/>
        <v>0</v>
      </c>
      <c r="AC39" s="15">
        <f t="shared" si="47"/>
        <v>0</v>
      </c>
      <c r="AD39" s="15">
        <f t="shared" si="47"/>
        <v>0</v>
      </c>
      <c r="AE39" s="15">
        <f t="shared" si="47"/>
        <v>0</v>
      </c>
      <c r="AF39" s="15">
        <f t="shared" si="49"/>
        <v>0</v>
      </c>
      <c r="AG39" s="15">
        <f t="shared" si="49"/>
        <v>0</v>
      </c>
      <c r="AH39" s="15">
        <f t="shared" si="49"/>
        <v>0</v>
      </c>
      <c r="AI39" s="15">
        <f t="shared" si="49"/>
        <v>0</v>
      </c>
      <c r="AJ39" s="15">
        <f t="shared" si="49"/>
        <v>0</v>
      </c>
      <c r="AK39" s="15">
        <f t="shared" si="49"/>
        <v>0</v>
      </c>
      <c r="AL39" s="15">
        <f t="shared" si="49"/>
        <v>0</v>
      </c>
      <c r="AM39" s="15">
        <f t="shared" si="49"/>
        <v>0</v>
      </c>
      <c r="AN39" s="15">
        <f t="shared" si="49"/>
        <v>0</v>
      </c>
      <c r="AO39" s="15">
        <f t="shared" si="49"/>
        <v>0</v>
      </c>
      <c r="AP39" s="46">
        <f t="shared" si="8"/>
        <v>0</v>
      </c>
      <c r="AQ39" s="15">
        <f t="shared" si="9"/>
        <v>0</v>
      </c>
      <c r="AR39" s="15">
        <f t="shared" si="10"/>
        <v>0</v>
      </c>
      <c r="AS39" s="15">
        <f t="shared" si="11"/>
        <v>0</v>
      </c>
      <c r="AT39" s="15">
        <f t="shared" si="12"/>
        <v>0</v>
      </c>
      <c r="AU39" s="15">
        <f t="shared" si="13"/>
        <v>0</v>
      </c>
      <c r="AV39" s="15">
        <f t="shared" si="14"/>
        <v>0</v>
      </c>
      <c r="AW39" s="15">
        <f t="shared" si="15"/>
        <v>0</v>
      </c>
      <c r="AX39" s="15">
        <f t="shared" si="16"/>
        <v>0</v>
      </c>
      <c r="AY39" s="15">
        <f t="shared" si="17"/>
        <v>0</v>
      </c>
      <c r="AZ39" s="15">
        <f t="shared" si="18"/>
        <v>0</v>
      </c>
      <c r="BA39" s="15">
        <f t="shared" si="19"/>
        <v>0</v>
      </c>
      <c r="BB39" s="15">
        <f t="shared" si="20"/>
        <v>0</v>
      </c>
      <c r="BC39" s="15">
        <f t="shared" si="21"/>
        <v>0</v>
      </c>
      <c r="BD39" s="15">
        <f t="shared" si="22"/>
        <v>0</v>
      </c>
      <c r="BE39" s="15">
        <f t="shared" si="23"/>
        <v>0</v>
      </c>
      <c r="BF39" s="15">
        <f t="shared" si="24"/>
        <v>0</v>
      </c>
      <c r="BG39" s="15">
        <f t="shared" si="25"/>
        <v>0</v>
      </c>
      <c r="BH39" s="15">
        <f t="shared" si="26"/>
        <v>0</v>
      </c>
      <c r="BI39" s="15">
        <f t="shared" si="27"/>
        <v>0</v>
      </c>
      <c r="BJ39" s="15">
        <f t="shared" si="28"/>
        <v>0</v>
      </c>
      <c r="BK39" s="15">
        <f t="shared" si="29"/>
        <v>0</v>
      </c>
      <c r="BL39" s="15">
        <f t="shared" si="30"/>
        <v>0</v>
      </c>
      <c r="BM39" s="15">
        <f t="shared" si="31"/>
        <v>0</v>
      </c>
      <c r="BN39" s="15">
        <f t="shared" si="32"/>
        <v>0</v>
      </c>
      <c r="BO39" s="15">
        <f t="shared" si="33"/>
        <v>0</v>
      </c>
      <c r="BP39" s="15">
        <f t="shared" si="34"/>
        <v>0</v>
      </c>
      <c r="BQ39" s="15">
        <f t="shared" si="35"/>
        <v>0</v>
      </c>
      <c r="BR39" s="15">
        <f t="shared" si="36"/>
        <v>0</v>
      </c>
      <c r="BS39" s="15">
        <f t="shared" si="37"/>
        <v>0</v>
      </c>
      <c r="BT39" s="23">
        <f t="shared" si="38"/>
        <v>0</v>
      </c>
      <c r="BU39" s="23">
        <f t="shared" si="39"/>
        <v>0</v>
      </c>
      <c r="BV39" s="15">
        <f t="shared" si="40"/>
        <v>28</v>
      </c>
      <c r="BW39" s="15">
        <f t="shared" si="41"/>
        <v>0</v>
      </c>
      <c r="BX39" s="15">
        <f t="shared" si="42"/>
        <v>0</v>
      </c>
    </row>
    <row r="40" spans="1:76">
      <c r="A40" s="15">
        <f t="shared" si="43"/>
        <v>29</v>
      </c>
      <c r="B40" s="41">
        <f>'[2]Esaki Haz Calcs'!B34</f>
        <v>0</v>
      </c>
      <c r="C40" s="41">
        <f t="shared" si="3"/>
        <v>1</v>
      </c>
      <c r="D40" s="41">
        <f t="shared" si="44"/>
        <v>0.84448707507496246</v>
      </c>
      <c r="E40" s="41">
        <f t="shared" si="45"/>
        <v>0</v>
      </c>
      <c r="F40" s="41">
        <f t="shared" si="4"/>
        <v>0</v>
      </c>
      <c r="G40" s="41">
        <f t="shared" si="5"/>
        <v>0.15551292492503754</v>
      </c>
      <c r="H40" s="23">
        <f>'ContractCFsExhs1-2'!F41</f>
        <v>0</v>
      </c>
      <c r="I40" s="23">
        <f>'ContractCFsExhs1-2'!E41</f>
        <v>100</v>
      </c>
      <c r="J40" s="23">
        <f>IF('ContractCFsExhs1-2'!A41&lt;'ContractCFsExhs1-2'!$D$7,'E(CFs)30yrs'!H40+'E(CFs)30yrs'!I40,IF('ContractCFsExhs1-2'!A41&gt;'ContractCFsExhs1-2'!$D$7,0,'E(CFs)30yrs'!H40))</f>
        <v>0</v>
      </c>
      <c r="K40" s="51">
        <f t="shared" si="46"/>
        <v>0.6</v>
      </c>
      <c r="L40" s="15">
        <f t="shared" si="48"/>
        <v>0</v>
      </c>
      <c r="M40" s="15">
        <f t="shared" si="48"/>
        <v>0</v>
      </c>
      <c r="N40" s="15">
        <f t="shared" si="48"/>
        <v>0</v>
      </c>
      <c r="O40" s="15">
        <f t="shared" si="48"/>
        <v>0</v>
      </c>
      <c r="P40" s="15">
        <f t="shared" si="48"/>
        <v>0</v>
      </c>
      <c r="Q40" s="15">
        <f t="shared" si="48"/>
        <v>0</v>
      </c>
      <c r="R40" s="15">
        <f t="shared" si="48"/>
        <v>0</v>
      </c>
      <c r="S40" s="15">
        <f t="shared" si="48"/>
        <v>0</v>
      </c>
      <c r="T40" s="15">
        <f t="shared" si="48"/>
        <v>0</v>
      </c>
      <c r="U40" s="15">
        <f t="shared" si="48"/>
        <v>0</v>
      </c>
      <c r="V40" s="15">
        <f t="shared" si="47"/>
        <v>0</v>
      </c>
      <c r="W40" s="15">
        <f t="shared" si="47"/>
        <v>0</v>
      </c>
      <c r="X40" s="15">
        <f t="shared" si="47"/>
        <v>0</v>
      </c>
      <c r="Y40" s="15">
        <f t="shared" si="47"/>
        <v>0</v>
      </c>
      <c r="Z40" s="15">
        <f t="shared" si="47"/>
        <v>0</v>
      </c>
      <c r="AA40" s="15">
        <f t="shared" si="47"/>
        <v>0</v>
      </c>
      <c r="AB40" s="15">
        <f t="shared" si="47"/>
        <v>0</v>
      </c>
      <c r="AC40" s="15">
        <f t="shared" si="47"/>
        <v>0</v>
      </c>
      <c r="AD40" s="15">
        <f t="shared" si="47"/>
        <v>0</v>
      </c>
      <c r="AE40" s="15">
        <f t="shared" si="47"/>
        <v>0</v>
      </c>
      <c r="AF40" s="15">
        <f t="shared" si="49"/>
        <v>0</v>
      </c>
      <c r="AG40" s="15">
        <f t="shared" si="49"/>
        <v>0</v>
      </c>
      <c r="AH40" s="15">
        <f t="shared" si="49"/>
        <v>0</v>
      </c>
      <c r="AI40" s="15">
        <f t="shared" si="49"/>
        <v>0</v>
      </c>
      <c r="AJ40" s="15">
        <f t="shared" si="49"/>
        <v>0</v>
      </c>
      <c r="AK40" s="15">
        <f t="shared" si="49"/>
        <v>0</v>
      </c>
      <c r="AL40" s="15">
        <f t="shared" si="49"/>
        <v>0</v>
      </c>
      <c r="AM40" s="15">
        <f t="shared" si="49"/>
        <v>0</v>
      </c>
      <c r="AN40" s="15">
        <f t="shared" si="49"/>
        <v>0</v>
      </c>
      <c r="AO40" s="15">
        <f t="shared" si="49"/>
        <v>0</v>
      </c>
      <c r="AP40" s="46">
        <f t="shared" si="8"/>
        <v>0</v>
      </c>
      <c r="AQ40" s="15">
        <f t="shared" si="9"/>
        <v>0</v>
      </c>
      <c r="AR40" s="15">
        <f t="shared" si="10"/>
        <v>0</v>
      </c>
      <c r="AS40" s="15">
        <f t="shared" si="11"/>
        <v>0</v>
      </c>
      <c r="AT40" s="15">
        <f t="shared" si="12"/>
        <v>0</v>
      </c>
      <c r="AU40" s="15">
        <f t="shared" si="13"/>
        <v>0</v>
      </c>
      <c r="AV40" s="15">
        <f t="shared" si="14"/>
        <v>0</v>
      </c>
      <c r="AW40" s="15">
        <f t="shared" si="15"/>
        <v>0</v>
      </c>
      <c r="AX40" s="15">
        <f t="shared" si="16"/>
        <v>0</v>
      </c>
      <c r="AY40" s="15">
        <f t="shared" si="17"/>
        <v>0</v>
      </c>
      <c r="AZ40" s="15">
        <f t="shared" si="18"/>
        <v>0</v>
      </c>
      <c r="BA40" s="15">
        <f t="shared" si="19"/>
        <v>0</v>
      </c>
      <c r="BB40" s="15">
        <f t="shared" si="20"/>
        <v>0</v>
      </c>
      <c r="BC40" s="15">
        <f t="shared" si="21"/>
        <v>0</v>
      </c>
      <c r="BD40" s="15">
        <f t="shared" si="22"/>
        <v>0</v>
      </c>
      <c r="BE40" s="15">
        <f t="shared" si="23"/>
        <v>0</v>
      </c>
      <c r="BF40" s="15">
        <f t="shared" si="24"/>
        <v>0</v>
      </c>
      <c r="BG40" s="15">
        <f t="shared" si="25"/>
        <v>0</v>
      </c>
      <c r="BH40" s="15">
        <f t="shared" si="26"/>
        <v>0</v>
      </c>
      <c r="BI40" s="15">
        <f t="shared" si="27"/>
        <v>0</v>
      </c>
      <c r="BJ40" s="15">
        <f t="shared" si="28"/>
        <v>0</v>
      </c>
      <c r="BK40" s="15">
        <f t="shared" si="29"/>
        <v>0</v>
      </c>
      <c r="BL40" s="15">
        <f t="shared" si="30"/>
        <v>0</v>
      </c>
      <c r="BM40" s="15">
        <f t="shared" si="31"/>
        <v>0</v>
      </c>
      <c r="BN40" s="15">
        <f t="shared" si="32"/>
        <v>0</v>
      </c>
      <c r="BO40" s="15">
        <f t="shared" si="33"/>
        <v>0</v>
      </c>
      <c r="BP40" s="15">
        <f t="shared" si="34"/>
        <v>0</v>
      </c>
      <c r="BQ40" s="15">
        <f t="shared" si="35"/>
        <v>0</v>
      </c>
      <c r="BR40" s="15">
        <f t="shared" si="36"/>
        <v>0</v>
      </c>
      <c r="BS40" s="15">
        <f t="shared" si="37"/>
        <v>0</v>
      </c>
      <c r="BT40" s="23">
        <f t="shared" si="38"/>
        <v>0</v>
      </c>
      <c r="BU40" s="23">
        <f t="shared" si="39"/>
        <v>0</v>
      </c>
      <c r="BV40" s="15">
        <f t="shared" si="40"/>
        <v>29</v>
      </c>
      <c r="BW40" s="15">
        <f t="shared" si="41"/>
        <v>0</v>
      </c>
      <c r="BX40" s="15">
        <f t="shared" si="42"/>
        <v>0</v>
      </c>
    </row>
    <row r="41" spans="1:76">
      <c r="A41" s="15">
        <f t="shared" si="43"/>
        <v>30</v>
      </c>
      <c r="B41" s="41">
        <f>'[2]Esaki Haz Calcs'!B35</f>
        <v>0</v>
      </c>
      <c r="C41" s="41">
        <f t="shared" si="3"/>
        <v>1</v>
      </c>
      <c r="D41" s="41">
        <f t="shared" si="44"/>
        <v>0.84448707507496246</v>
      </c>
      <c r="E41" s="41">
        <f t="shared" si="45"/>
        <v>0</v>
      </c>
      <c r="F41" s="41">
        <f t="shared" si="4"/>
        <v>0</v>
      </c>
      <c r="G41" s="41">
        <f t="shared" si="5"/>
        <v>0.15551292492503754</v>
      </c>
      <c r="H41" s="23">
        <f>'ContractCFsExhs1-2'!F42</f>
        <v>0</v>
      </c>
      <c r="I41" s="23">
        <f>'ContractCFsExhs1-2'!E42</f>
        <v>100</v>
      </c>
      <c r="J41" s="23">
        <f>IF('ContractCFsExhs1-2'!A42&lt;'ContractCFsExhs1-2'!$D$7,'E(CFs)30yrs'!H41+'E(CFs)30yrs'!I41,IF('ContractCFsExhs1-2'!A42&gt;'ContractCFsExhs1-2'!$D$7,0,'E(CFs)30yrs'!H41))</f>
        <v>0</v>
      </c>
      <c r="K41" s="51">
        <f t="shared" si="46"/>
        <v>0.6</v>
      </c>
      <c r="L41" s="15">
        <f t="shared" si="48"/>
        <v>0</v>
      </c>
      <c r="M41" s="15">
        <f t="shared" si="48"/>
        <v>0</v>
      </c>
      <c r="N41" s="15">
        <f t="shared" si="48"/>
        <v>0</v>
      </c>
      <c r="O41" s="15">
        <f t="shared" si="48"/>
        <v>0</v>
      </c>
      <c r="P41" s="15">
        <f t="shared" si="48"/>
        <v>0</v>
      </c>
      <c r="Q41" s="15">
        <f t="shared" si="48"/>
        <v>0</v>
      </c>
      <c r="R41" s="15">
        <f t="shared" si="48"/>
        <v>0</v>
      </c>
      <c r="S41" s="15">
        <f t="shared" si="48"/>
        <v>0</v>
      </c>
      <c r="T41" s="15">
        <f t="shared" si="48"/>
        <v>0</v>
      </c>
      <c r="U41" s="15">
        <f t="shared" si="48"/>
        <v>0</v>
      </c>
      <c r="V41" s="15">
        <f t="shared" si="47"/>
        <v>0</v>
      </c>
      <c r="W41" s="15">
        <f t="shared" si="47"/>
        <v>0</v>
      </c>
      <c r="X41" s="15">
        <f t="shared" si="47"/>
        <v>0</v>
      </c>
      <c r="Y41" s="15">
        <f t="shared" si="47"/>
        <v>0</v>
      </c>
      <c r="Z41" s="15">
        <f t="shared" si="47"/>
        <v>0</v>
      </c>
      <c r="AA41" s="15">
        <f t="shared" si="47"/>
        <v>0</v>
      </c>
      <c r="AB41" s="15">
        <f t="shared" si="47"/>
        <v>0</v>
      </c>
      <c r="AC41" s="15">
        <f t="shared" si="47"/>
        <v>0</v>
      </c>
      <c r="AD41" s="15">
        <f t="shared" si="47"/>
        <v>0</v>
      </c>
      <c r="AE41" s="15">
        <f t="shared" si="47"/>
        <v>0</v>
      </c>
      <c r="AF41" s="15">
        <f t="shared" si="49"/>
        <v>0</v>
      </c>
      <c r="AG41" s="15">
        <f t="shared" si="49"/>
        <v>0</v>
      </c>
      <c r="AH41" s="15">
        <f t="shared" si="49"/>
        <v>0</v>
      </c>
      <c r="AI41" s="15">
        <f t="shared" si="49"/>
        <v>0</v>
      </c>
      <c r="AJ41" s="15">
        <f t="shared" si="49"/>
        <v>0</v>
      </c>
      <c r="AK41" s="15">
        <f t="shared" si="49"/>
        <v>0</v>
      </c>
      <c r="AL41" s="15">
        <f t="shared" si="49"/>
        <v>0</v>
      </c>
      <c r="AM41" s="15">
        <f t="shared" si="49"/>
        <v>0</v>
      </c>
      <c r="AN41" s="15">
        <f t="shared" si="49"/>
        <v>0</v>
      </c>
      <c r="AO41" s="15">
        <f t="shared" si="49"/>
        <v>0</v>
      </c>
      <c r="AP41" s="46">
        <f t="shared" si="8"/>
        <v>0</v>
      </c>
      <c r="AQ41" s="15">
        <f t="shared" si="9"/>
        <v>0</v>
      </c>
      <c r="AR41" s="15">
        <f t="shared" si="10"/>
        <v>0</v>
      </c>
      <c r="AS41" s="15">
        <f t="shared" si="11"/>
        <v>0</v>
      </c>
      <c r="AT41" s="15">
        <f t="shared" si="12"/>
        <v>0</v>
      </c>
      <c r="AU41" s="15">
        <f t="shared" si="13"/>
        <v>0</v>
      </c>
      <c r="AV41" s="15">
        <f t="shared" si="14"/>
        <v>0</v>
      </c>
      <c r="AW41" s="15">
        <f t="shared" si="15"/>
        <v>0</v>
      </c>
      <c r="AX41" s="15">
        <f t="shared" si="16"/>
        <v>0</v>
      </c>
      <c r="AY41" s="15">
        <f t="shared" si="17"/>
        <v>0</v>
      </c>
      <c r="AZ41" s="15">
        <f t="shared" si="18"/>
        <v>0</v>
      </c>
      <c r="BA41" s="15">
        <f t="shared" si="19"/>
        <v>0</v>
      </c>
      <c r="BB41" s="15">
        <f t="shared" si="20"/>
        <v>0</v>
      </c>
      <c r="BC41" s="15">
        <f t="shared" si="21"/>
        <v>0</v>
      </c>
      <c r="BD41" s="15">
        <f t="shared" si="22"/>
        <v>0</v>
      </c>
      <c r="BE41" s="15">
        <f t="shared" si="23"/>
        <v>0</v>
      </c>
      <c r="BF41" s="15">
        <f t="shared" si="24"/>
        <v>0</v>
      </c>
      <c r="BG41" s="15">
        <f t="shared" si="25"/>
        <v>0</v>
      </c>
      <c r="BH41" s="15">
        <f t="shared" si="26"/>
        <v>0</v>
      </c>
      <c r="BI41" s="15">
        <f t="shared" si="27"/>
        <v>0</v>
      </c>
      <c r="BJ41" s="15">
        <f t="shared" si="28"/>
        <v>0</v>
      </c>
      <c r="BK41" s="15">
        <f t="shared" si="29"/>
        <v>0</v>
      </c>
      <c r="BL41" s="15">
        <f t="shared" si="30"/>
        <v>0</v>
      </c>
      <c r="BM41" s="15">
        <f t="shared" si="31"/>
        <v>0</v>
      </c>
      <c r="BN41" s="15">
        <f t="shared" si="32"/>
        <v>0</v>
      </c>
      <c r="BO41" s="15">
        <f t="shared" si="33"/>
        <v>0</v>
      </c>
      <c r="BP41" s="15">
        <f t="shared" si="34"/>
        <v>0</v>
      </c>
      <c r="BQ41" s="15">
        <f t="shared" si="35"/>
        <v>0</v>
      </c>
      <c r="BR41" s="15">
        <f t="shared" si="36"/>
        <v>0</v>
      </c>
      <c r="BS41" s="15">
        <f t="shared" si="37"/>
        <v>0</v>
      </c>
      <c r="BT41" s="23">
        <f t="shared" si="38"/>
        <v>0</v>
      </c>
      <c r="BU41" s="23">
        <f t="shared" si="39"/>
        <v>0</v>
      </c>
      <c r="BV41" s="15">
        <f t="shared" si="40"/>
        <v>30</v>
      </c>
      <c r="BW41" s="15">
        <f t="shared" si="41"/>
        <v>0</v>
      </c>
      <c r="BX41" s="15">
        <f t="shared" si="42"/>
        <v>0</v>
      </c>
    </row>
    <row r="42" spans="1:76">
      <c r="K42" s="51" t="s">
        <v>108</v>
      </c>
      <c r="L42" s="17">
        <f>IF(L10&lt;='ContractCFsExhs1-2'!$D7,IRR(L11:L41),"NA")</f>
        <v>-0.12727272727228567</v>
      </c>
      <c r="M42" s="17">
        <f>IF(M10&lt;='ContractCFsExhs1-2'!$D7,IRR(M11:M41),"NA")</f>
        <v>-8.4799497487581588E-2</v>
      </c>
      <c r="N42" s="17">
        <f>IF(N10&lt;='ContractCFsExhs1-2'!$D7,IRR(N11:N41),"NA")</f>
        <v>-7.2022430451731331E-2</v>
      </c>
      <c r="O42" s="17">
        <f>IF(O10&lt;='ContractCFsExhs1-2'!$D7,IRR(O11:O41),"NA")</f>
        <v>-3.0811092221787739E-2</v>
      </c>
      <c r="P42" s="17">
        <f>IF(P10&lt;='ContractCFsExhs1-2'!$D7,IRR(P11:P41),"NA")</f>
        <v>-5.3639426431411012E-3</v>
      </c>
      <c r="Q42" s="17">
        <f>IF(Q10&lt;='ContractCFsExhs1-2'!$D7,IRR(Q11:Q41),"NA")</f>
        <v>1.1837981846064698E-2</v>
      </c>
      <c r="R42" s="17">
        <f>IF(R10&lt;='ContractCFsExhs1-2'!$D7,IRR(R11:R41),"NA")</f>
        <v>2.4192144511583025E-2</v>
      </c>
      <c r="S42" s="17">
        <f>IF(S10&lt;='ContractCFsExhs1-2'!$D7,IRR(S11:S41),"NA")</f>
        <v>3.3457003591856493E-2</v>
      </c>
      <c r="T42" s="17">
        <f>IF(T10&lt;='ContractCFsExhs1-2'!$D7,IRR(T11:T41),"NA")</f>
        <v>4.0633708727541885E-2</v>
      </c>
      <c r="U42" s="17">
        <f>IF(U10&lt;='ContractCFsExhs1-2'!$D7,IRR(U11:U41),"NA")</f>
        <v>4.9211426371090196E-2</v>
      </c>
      <c r="V42" s="17" t="str">
        <f>IF(V10&lt;='ContractCFsExhs1-2'!$D7,IRR(V11:V41),"NA")</f>
        <v>NA</v>
      </c>
      <c r="W42" s="17" t="str">
        <f>IF(W10&lt;='ContractCFsExhs1-2'!$D7,IRR(W11:W41),"NA")</f>
        <v>NA</v>
      </c>
      <c r="X42" s="17" t="str">
        <f>IF(X10&lt;='ContractCFsExhs1-2'!$D7,IRR(X11:X41),"NA")</f>
        <v>NA</v>
      </c>
      <c r="Y42" s="17" t="str">
        <f>IF(Y10&lt;='ContractCFsExhs1-2'!$D7,IRR(Y11:Y41),"NA")</f>
        <v>NA</v>
      </c>
      <c r="Z42" s="17" t="str">
        <f>IF(Z10&lt;='ContractCFsExhs1-2'!$D7,IRR(Z11:Z41),"NA")</f>
        <v>NA</v>
      </c>
      <c r="AA42" s="17" t="str">
        <f>IF(AA10&lt;='ContractCFsExhs1-2'!$D7,IRR(AA11:AA41),"NA")</f>
        <v>NA</v>
      </c>
      <c r="AB42" s="17" t="str">
        <f>IF(AB10&lt;='ContractCFsExhs1-2'!$D7,IRR(AB11:AB41),"NA")</f>
        <v>NA</v>
      </c>
      <c r="AC42" s="17" t="str">
        <f>IF(AC10&lt;='ContractCFsExhs1-2'!$D7,IRR(AC11:AC41),"NA")</f>
        <v>NA</v>
      </c>
      <c r="AD42" s="17" t="str">
        <f>IF(AD10&lt;='ContractCFsExhs1-2'!$D7,IRR(AD11:AD41),"NA")</f>
        <v>NA</v>
      </c>
      <c r="AE42" s="17" t="str">
        <f>IF(AE10&lt;='ContractCFsExhs1-2'!$D7,IRR(AE11:AE41),"NA")</f>
        <v>NA</v>
      </c>
      <c r="AF42" s="17" t="str">
        <f>IF(AF10&lt;='ContractCFsExhs1-2'!$D7,IRR(AF11:AF41),"NA")</f>
        <v>NA</v>
      </c>
      <c r="AG42" s="17" t="str">
        <f>IF(AG10&lt;='ContractCFsExhs1-2'!$D7,IRR(AG11:AG41),"NA")</f>
        <v>NA</v>
      </c>
      <c r="AH42" s="17" t="str">
        <f>IF(AH10&lt;='ContractCFsExhs1-2'!$D7,IRR(AH11:AH41),"NA")</f>
        <v>NA</v>
      </c>
      <c r="AI42" s="17" t="str">
        <f>IF(AI10&lt;='ContractCFsExhs1-2'!$D7,IRR(AI11:AI41),"NA")</f>
        <v>NA</v>
      </c>
      <c r="AJ42" s="17" t="str">
        <f>IF(AJ10&lt;='ContractCFsExhs1-2'!$D7,IRR(AJ11:AJ41),"NA")</f>
        <v>NA</v>
      </c>
      <c r="AK42" s="17" t="str">
        <f>IF(AK10&lt;='ContractCFsExhs1-2'!$D7,IRR(AK11:AK41),"NA")</f>
        <v>NA</v>
      </c>
      <c r="AL42" s="17" t="str">
        <f>IF(AL10&lt;='ContractCFsExhs1-2'!$D7,IRR(AL11:AL41),"NA")</f>
        <v>NA</v>
      </c>
      <c r="AM42" s="17" t="str">
        <f>IF(AM10&lt;='ContractCFsExhs1-2'!$D7,IRR(AM11:AM41),"NA")</f>
        <v>NA</v>
      </c>
      <c r="AN42" s="17" t="str">
        <f>IF(AN10&lt;='ContractCFsExhs1-2'!$D7,IRR(AN11:AN41),"NA")</f>
        <v>NA</v>
      </c>
      <c r="AO42" s="17" t="str">
        <f>IF(AO10&lt;='ContractCFsExhs1-2'!$D7,IRR(AO11:AO41),"NA")</f>
        <v>NA</v>
      </c>
      <c r="AP42" s="46">
        <f t="shared" si="8"/>
        <v>-4.1999999999854269E-4</v>
      </c>
    </row>
    <row r="43" spans="1:76">
      <c r="K43" s="51" t="s">
        <v>109</v>
      </c>
      <c r="L43" s="17">
        <f>IF(L10&lt;='ContractCFsExhs1-2'!$D7,$B3-L42,0)</f>
        <v>0.21216815786044707</v>
      </c>
      <c r="M43" s="17">
        <f>IF(M10&lt;='ContractCFsExhs1-2'!$D7,$B3-M42,0)</f>
        <v>0.16969492807574299</v>
      </c>
      <c r="N43" s="17">
        <f>IF(N10&lt;='ContractCFsExhs1-2'!$D7,$B3-N42,0)</f>
        <v>0.15691786103989275</v>
      </c>
      <c r="O43" s="17">
        <f>IF(O10&lt;='ContractCFsExhs1-2'!$D7,$B3-O42,0)</f>
        <v>0.11570652280994914</v>
      </c>
      <c r="P43" s="17">
        <f>IF(P10&lt;='ContractCFsExhs1-2'!$D7,$B3-P42,0)</f>
        <v>9.0259373231302509E-2</v>
      </c>
      <c r="Q43" s="17">
        <f>IF(Q10&lt;='ContractCFsExhs1-2'!$D7,$B3-Q42,0)</f>
        <v>7.3057448742096701E-2</v>
      </c>
      <c r="R43" s="17">
        <f>IF(R10&lt;='ContractCFsExhs1-2'!$D7,$B3-R42,0)</f>
        <v>6.0703286076578378E-2</v>
      </c>
      <c r="S43" s="17">
        <f>IF(S10&lt;='ContractCFsExhs1-2'!$D7,$B3-S42,0)</f>
        <v>5.1438426996304909E-2</v>
      </c>
      <c r="T43" s="17">
        <f>IF(T10&lt;='ContractCFsExhs1-2'!$D7,$B3-T42,0)</f>
        <v>4.4261721860619517E-2</v>
      </c>
      <c r="U43" s="17">
        <f>IF(U10&lt;='ContractCFsExhs1-2'!$D7,$B3-U42,0)</f>
        <v>3.5684004217071207E-2</v>
      </c>
      <c r="V43" s="17">
        <f>IF(V10&lt;='ContractCFsExhs1-2'!$D7,$B3-V42,0)</f>
        <v>0</v>
      </c>
      <c r="W43" s="17">
        <f>IF(W10&lt;='ContractCFsExhs1-2'!$D7,$B3-W42,0)</f>
        <v>0</v>
      </c>
      <c r="X43" s="17">
        <f>IF(X10&lt;='ContractCFsExhs1-2'!$D7,$B3-X42,0)</f>
        <v>0</v>
      </c>
      <c r="Y43" s="17">
        <f>IF(Y10&lt;='ContractCFsExhs1-2'!$D7,$B3-Y42,0)</f>
        <v>0</v>
      </c>
      <c r="Z43" s="17">
        <f>IF(Z10&lt;='ContractCFsExhs1-2'!$D7,$B3-Z42,0)</f>
        <v>0</v>
      </c>
      <c r="AA43" s="17">
        <f>IF(AA10&lt;='ContractCFsExhs1-2'!$D7,$B3-AA42,0)</f>
        <v>0</v>
      </c>
      <c r="AB43" s="17">
        <f>IF(AB10&lt;='ContractCFsExhs1-2'!$D7,$B3-AB42,0)</f>
        <v>0</v>
      </c>
      <c r="AC43" s="17">
        <f>IF(AC10&lt;='ContractCFsExhs1-2'!$D7,$B3-AC42,0)</f>
        <v>0</v>
      </c>
      <c r="AD43" s="17">
        <f>IF(AD10&lt;='ContractCFsExhs1-2'!$D7,$B3-AD42,0)</f>
        <v>0</v>
      </c>
      <c r="AE43" s="17">
        <f>IF(AE10&lt;='ContractCFsExhs1-2'!$D7,$B3-AE42,0)</f>
        <v>0</v>
      </c>
      <c r="AF43" s="17">
        <f>IF(AF10&lt;='ContractCFsExhs1-2'!$D7,$B3-AF42,0)</f>
        <v>0</v>
      </c>
      <c r="AG43" s="17">
        <f>IF(AG10&lt;='ContractCFsExhs1-2'!$D7,$B3-AG42,0)</f>
        <v>0</v>
      </c>
      <c r="AH43" s="17">
        <f>IF(AH10&lt;='ContractCFsExhs1-2'!$D7,$B3-AH42,0)</f>
        <v>0</v>
      </c>
      <c r="AI43" s="17">
        <f>IF(AI10&lt;='ContractCFsExhs1-2'!$D7,$B3-AI42,0)</f>
        <v>0</v>
      </c>
      <c r="AJ43" s="17">
        <f>IF(AJ10&lt;='ContractCFsExhs1-2'!$D7,$B3-AJ42,0)</f>
        <v>0</v>
      </c>
      <c r="AK43" s="17">
        <f>IF(AK10&lt;='ContractCFsExhs1-2'!$D7,$B3-AK42,0)</f>
        <v>0</v>
      </c>
      <c r="AL43" s="17">
        <f>IF(AL10&lt;='ContractCFsExhs1-2'!$D7,$B3-AL42,0)</f>
        <v>0</v>
      </c>
      <c r="AM43" s="17">
        <f>IF(AM10&lt;='ContractCFsExhs1-2'!$D7,$B3-AM42,0)</f>
        <v>0</v>
      </c>
      <c r="AN43" s="17">
        <f>IF(AN10&lt;='ContractCFsExhs1-2'!$D7,$B3-AN42,0)</f>
        <v>0</v>
      </c>
      <c r="AO43" s="17">
        <f>IF(AO10&lt;='ContractCFsExhs1-2'!$D7,$B3-AO42,0)</f>
        <v>0</v>
      </c>
      <c r="AP43" s="77">
        <f t="shared" si="8"/>
        <v>7.0015492093947532E-4</v>
      </c>
    </row>
    <row r="44" spans="1:76">
      <c r="K44" s="51" t="s">
        <v>44</v>
      </c>
      <c r="L44" s="41">
        <f>E12</f>
        <v>3.3E-3</v>
      </c>
      <c r="M44" s="41">
        <f>E13</f>
        <v>1.1860730000000002E-2</v>
      </c>
      <c r="N44" s="41">
        <f>E14</f>
        <v>1.6151364028000003E-2</v>
      </c>
      <c r="O44" s="41">
        <f>E15</f>
        <v>1.6564563192121202E-2</v>
      </c>
      <c r="P44" s="41">
        <f>E16</f>
        <v>1.5900459824423976E-2</v>
      </c>
      <c r="Q44" s="41">
        <f>E17</f>
        <v>1.6945634181493734E-2</v>
      </c>
      <c r="R44" s="41">
        <f>E18</f>
        <v>1.5260002329647755E-2</v>
      </c>
      <c r="S44" s="41">
        <f>E19</f>
        <v>9.7633862615985854E-3</v>
      </c>
      <c r="T44" s="41">
        <f>E20</f>
        <v>8.5848370577540616E-3</v>
      </c>
      <c r="U44" s="41">
        <f>E21</f>
        <v>6.3768169664997166E-3</v>
      </c>
      <c r="V44" s="41">
        <f>E22</f>
        <v>6.0671162224933805E-3</v>
      </c>
      <c r="W44" s="41">
        <f>E23</f>
        <v>4.8027379946478212E-3</v>
      </c>
      <c r="X44" s="41">
        <f>E24</f>
        <v>4.4289539949007315E-3</v>
      </c>
      <c r="Y44" s="41">
        <f>E25</f>
        <v>3.7151716111696021E-3</v>
      </c>
      <c r="Z44" s="41">
        <f>E26</f>
        <v>2.6668625016392734E-3</v>
      </c>
      <c r="AA44" s="41">
        <f>E27</f>
        <v>3.6877288644845243E-3</v>
      </c>
      <c r="AB44" s="41">
        <f>E28</f>
        <v>3.1595174493857653E-3</v>
      </c>
      <c r="AC44" s="41">
        <f>E29</f>
        <v>1.5313754115355317E-3</v>
      </c>
      <c r="AD44" s="41">
        <f>E30</f>
        <v>1.1889258389514859E-3</v>
      </c>
      <c r="AE44" s="41">
        <f>E31</f>
        <v>1.6960876325385057E-3</v>
      </c>
      <c r="AF44" s="41">
        <f>E32</f>
        <v>1.0156172743640572E-3</v>
      </c>
      <c r="AG44" s="41">
        <f>E33</f>
        <v>3.3813284454494016E-4</v>
      </c>
      <c r="AH44" s="41">
        <f>E34</f>
        <v>8.4499397851780551E-5</v>
      </c>
      <c r="AI44" s="41">
        <f>E35</f>
        <v>1.6898189582399074E-4</v>
      </c>
      <c r="AJ44" s="41">
        <f>E36</f>
        <v>0</v>
      </c>
      <c r="AK44" s="41">
        <f>E37</f>
        <v>2.5342214916723889E-4</v>
      </c>
      <c r="AL44" s="41">
        <f>E38</f>
        <v>0</v>
      </c>
      <c r="AM44" s="41">
        <f>E39</f>
        <v>0</v>
      </c>
      <c r="AN44" s="41">
        <f>E40</f>
        <v>0</v>
      </c>
      <c r="AO44" s="41">
        <f>E41</f>
        <v>0</v>
      </c>
      <c r="AP44" s="46"/>
    </row>
    <row r="45" spans="1:76">
      <c r="K45" s="51" t="s">
        <v>110</v>
      </c>
      <c r="L45" s="15">
        <f t="shared" ref="L45:AO45" si="50">L43*L44</f>
        <v>7.0015492093947532E-4</v>
      </c>
      <c r="M45" s="15">
        <f t="shared" si="50"/>
        <v>2.0127057242758073E-3</v>
      </c>
      <c r="N45" s="15">
        <f t="shared" si="50"/>
        <v>2.5344374961504268E-3</v>
      </c>
      <c r="O45" s="15">
        <f t="shared" si="50"/>
        <v>1.9166280088260157E-3</v>
      </c>
      <c r="P45" s="15">
        <f t="shared" si="50"/>
        <v>1.4351655378420144E-3</v>
      </c>
      <c r="Q45" s="15">
        <f t="shared" si="50"/>
        <v>1.2380048006168003E-3</v>
      </c>
      <c r="R45" s="15">
        <f t="shared" si="50"/>
        <v>9.2633228694586017E-4</v>
      </c>
      <c r="S45" s="15">
        <f t="shared" si="50"/>
        <v>5.022132314539651E-4</v>
      </c>
      <c r="T45" s="15">
        <f t="shared" si="50"/>
        <v>3.7997967006904947E-4</v>
      </c>
      <c r="U45" s="15">
        <f t="shared" si="50"/>
        <v>2.2755036352406711E-4</v>
      </c>
      <c r="V45" s="15">
        <f t="shared" si="50"/>
        <v>0</v>
      </c>
      <c r="W45" s="15">
        <f t="shared" si="50"/>
        <v>0</v>
      </c>
      <c r="X45" s="15">
        <f t="shared" si="50"/>
        <v>0</v>
      </c>
      <c r="Y45" s="15">
        <f t="shared" si="50"/>
        <v>0</v>
      </c>
      <c r="Z45" s="15">
        <f t="shared" si="50"/>
        <v>0</v>
      </c>
      <c r="AA45" s="15">
        <f t="shared" si="50"/>
        <v>0</v>
      </c>
      <c r="AB45" s="15">
        <f t="shared" si="50"/>
        <v>0</v>
      </c>
      <c r="AC45" s="15">
        <f t="shared" si="50"/>
        <v>0</v>
      </c>
      <c r="AD45" s="15">
        <f t="shared" si="50"/>
        <v>0</v>
      </c>
      <c r="AE45" s="15">
        <f t="shared" si="50"/>
        <v>0</v>
      </c>
      <c r="AF45" s="15">
        <f t="shared" si="50"/>
        <v>0</v>
      </c>
      <c r="AG45" s="15">
        <f t="shared" si="50"/>
        <v>0</v>
      </c>
      <c r="AH45" s="15">
        <f t="shared" si="50"/>
        <v>0</v>
      </c>
      <c r="AI45" s="15">
        <f t="shared" si="50"/>
        <v>0</v>
      </c>
      <c r="AJ45" s="15">
        <f t="shared" si="50"/>
        <v>0</v>
      </c>
      <c r="AK45" s="15">
        <f t="shared" si="50"/>
        <v>0</v>
      </c>
      <c r="AL45" s="15">
        <f t="shared" si="50"/>
        <v>0</v>
      </c>
      <c r="AM45" s="15">
        <f t="shared" si="50"/>
        <v>0</v>
      </c>
      <c r="AN45" s="15">
        <f t="shared" si="50"/>
        <v>0</v>
      </c>
      <c r="AO45" s="15">
        <f t="shared" si="50"/>
        <v>0</v>
      </c>
      <c r="AP45" s="46"/>
    </row>
  </sheetData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4"/>
  <sheetViews>
    <sheetView workbookViewId="0"/>
  </sheetViews>
  <sheetFormatPr defaultColWidth="9.109375" defaultRowHeight="13.2"/>
  <cols>
    <col min="1" max="1" width="14.88671875" style="78" customWidth="1"/>
    <col min="2" max="6" width="8.6640625" style="78" customWidth="1"/>
    <col min="7" max="7" width="10.33203125" style="78" customWidth="1"/>
    <col min="8" max="8" width="8.6640625" style="78" customWidth="1"/>
    <col min="9" max="9" width="9.5546875" style="78" customWidth="1"/>
    <col min="10" max="10" width="8.6640625" style="78" customWidth="1"/>
    <col min="11" max="11" width="10" style="78" customWidth="1"/>
    <col min="12" max="12" width="9.44140625" style="78" customWidth="1"/>
    <col min="13" max="256" width="9.109375" style="78"/>
    <col min="257" max="257" width="14.88671875" style="78" customWidth="1"/>
    <col min="258" max="262" width="8.6640625" style="78" customWidth="1"/>
    <col min="263" max="263" width="10.33203125" style="78" customWidth="1"/>
    <col min="264" max="264" width="8.6640625" style="78" customWidth="1"/>
    <col min="265" max="265" width="9.5546875" style="78" customWidth="1"/>
    <col min="266" max="266" width="8.6640625" style="78" customWidth="1"/>
    <col min="267" max="267" width="10" style="78" customWidth="1"/>
    <col min="268" max="268" width="9.44140625" style="78" customWidth="1"/>
    <col min="269" max="512" width="9.109375" style="78"/>
    <col min="513" max="513" width="14.88671875" style="78" customWidth="1"/>
    <col min="514" max="518" width="8.6640625" style="78" customWidth="1"/>
    <col min="519" max="519" width="10.33203125" style="78" customWidth="1"/>
    <col min="520" max="520" width="8.6640625" style="78" customWidth="1"/>
    <col min="521" max="521" width="9.5546875" style="78" customWidth="1"/>
    <col min="522" max="522" width="8.6640625" style="78" customWidth="1"/>
    <col min="523" max="523" width="10" style="78" customWidth="1"/>
    <col min="524" max="524" width="9.44140625" style="78" customWidth="1"/>
    <col min="525" max="768" width="9.109375" style="78"/>
    <col min="769" max="769" width="14.88671875" style="78" customWidth="1"/>
    <col min="770" max="774" width="8.6640625" style="78" customWidth="1"/>
    <col min="775" max="775" width="10.33203125" style="78" customWidth="1"/>
    <col min="776" max="776" width="8.6640625" style="78" customWidth="1"/>
    <col min="777" max="777" width="9.5546875" style="78" customWidth="1"/>
    <col min="778" max="778" width="8.6640625" style="78" customWidth="1"/>
    <col min="779" max="779" width="10" style="78" customWidth="1"/>
    <col min="780" max="780" width="9.44140625" style="78" customWidth="1"/>
    <col min="781" max="1024" width="9.109375" style="78"/>
    <col min="1025" max="1025" width="14.88671875" style="78" customWidth="1"/>
    <col min="1026" max="1030" width="8.6640625" style="78" customWidth="1"/>
    <col min="1031" max="1031" width="10.33203125" style="78" customWidth="1"/>
    <col min="1032" max="1032" width="8.6640625" style="78" customWidth="1"/>
    <col min="1033" max="1033" width="9.5546875" style="78" customWidth="1"/>
    <col min="1034" max="1034" width="8.6640625" style="78" customWidth="1"/>
    <col min="1035" max="1035" width="10" style="78" customWidth="1"/>
    <col min="1036" max="1036" width="9.44140625" style="78" customWidth="1"/>
    <col min="1037" max="1280" width="9.109375" style="78"/>
    <col min="1281" max="1281" width="14.88671875" style="78" customWidth="1"/>
    <col min="1282" max="1286" width="8.6640625" style="78" customWidth="1"/>
    <col min="1287" max="1287" width="10.33203125" style="78" customWidth="1"/>
    <col min="1288" max="1288" width="8.6640625" style="78" customWidth="1"/>
    <col min="1289" max="1289" width="9.5546875" style="78" customWidth="1"/>
    <col min="1290" max="1290" width="8.6640625" style="78" customWidth="1"/>
    <col min="1291" max="1291" width="10" style="78" customWidth="1"/>
    <col min="1292" max="1292" width="9.44140625" style="78" customWidth="1"/>
    <col min="1293" max="1536" width="9.109375" style="78"/>
    <col min="1537" max="1537" width="14.88671875" style="78" customWidth="1"/>
    <col min="1538" max="1542" width="8.6640625" style="78" customWidth="1"/>
    <col min="1543" max="1543" width="10.33203125" style="78" customWidth="1"/>
    <col min="1544" max="1544" width="8.6640625" style="78" customWidth="1"/>
    <col min="1545" max="1545" width="9.5546875" style="78" customWidth="1"/>
    <col min="1546" max="1546" width="8.6640625" style="78" customWidth="1"/>
    <col min="1547" max="1547" width="10" style="78" customWidth="1"/>
    <col min="1548" max="1548" width="9.44140625" style="78" customWidth="1"/>
    <col min="1549" max="1792" width="9.109375" style="78"/>
    <col min="1793" max="1793" width="14.88671875" style="78" customWidth="1"/>
    <col min="1794" max="1798" width="8.6640625" style="78" customWidth="1"/>
    <col min="1799" max="1799" width="10.33203125" style="78" customWidth="1"/>
    <col min="1800" max="1800" width="8.6640625" style="78" customWidth="1"/>
    <col min="1801" max="1801" width="9.5546875" style="78" customWidth="1"/>
    <col min="1802" max="1802" width="8.6640625" style="78" customWidth="1"/>
    <col min="1803" max="1803" width="10" style="78" customWidth="1"/>
    <col min="1804" max="1804" width="9.44140625" style="78" customWidth="1"/>
    <col min="1805" max="2048" width="9.109375" style="78"/>
    <col min="2049" max="2049" width="14.88671875" style="78" customWidth="1"/>
    <col min="2050" max="2054" width="8.6640625" style="78" customWidth="1"/>
    <col min="2055" max="2055" width="10.33203125" style="78" customWidth="1"/>
    <col min="2056" max="2056" width="8.6640625" style="78" customWidth="1"/>
    <col min="2057" max="2057" width="9.5546875" style="78" customWidth="1"/>
    <col min="2058" max="2058" width="8.6640625" style="78" customWidth="1"/>
    <col min="2059" max="2059" width="10" style="78" customWidth="1"/>
    <col min="2060" max="2060" width="9.44140625" style="78" customWidth="1"/>
    <col min="2061" max="2304" width="9.109375" style="78"/>
    <col min="2305" max="2305" width="14.88671875" style="78" customWidth="1"/>
    <col min="2306" max="2310" width="8.6640625" style="78" customWidth="1"/>
    <col min="2311" max="2311" width="10.33203125" style="78" customWidth="1"/>
    <col min="2312" max="2312" width="8.6640625" style="78" customWidth="1"/>
    <col min="2313" max="2313" width="9.5546875" style="78" customWidth="1"/>
    <col min="2314" max="2314" width="8.6640625" style="78" customWidth="1"/>
    <col min="2315" max="2315" width="10" style="78" customWidth="1"/>
    <col min="2316" max="2316" width="9.44140625" style="78" customWidth="1"/>
    <col min="2317" max="2560" width="9.109375" style="78"/>
    <col min="2561" max="2561" width="14.88671875" style="78" customWidth="1"/>
    <col min="2562" max="2566" width="8.6640625" style="78" customWidth="1"/>
    <col min="2567" max="2567" width="10.33203125" style="78" customWidth="1"/>
    <col min="2568" max="2568" width="8.6640625" style="78" customWidth="1"/>
    <col min="2569" max="2569" width="9.5546875" style="78" customWidth="1"/>
    <col min="2570" max="2570" width="8.6640625" style="78" customWidth="1"/>
    <col min="2571" max="2571" width="10" style="78" customWidth="1"/>
    <col min="2572" max="2572" width="9.44140625" style="78" customWidth="1"/>
    <col min="2573" max="2816" width="9.109375" style="78"/>
    <col min="2817" max="2817" width="14.88671875" style="78" customWidth="1"/>
    <col min="2818" max="2822" width="8.6640625" style="78" customWidth="1"/>
    <col min="2823" max="2823" width="10.33203125" style="78" customWidth="1"/>
    <col min="2824" max="2824" width="8.6640625" style="78" customWidth="1"/>
    <col min="2825" max="2825" width="9.5546875" style="78" customWidth="1"/>
    <col min="2826" max="2826" width="8.6640625" style="78" customWidth="1"/>
    <col min="2827" max="2827" width="10" style="78" customWidth="1"/>
    <col min="2828" max="2828" width="9.44140625" style="78" customWidth="1"/>
    <col min="2829" max="3072" width="9.109375" style="78"/>
    <col min="3073" max="3073" width="14.88671875" style="78" customWidth="1"/>
    <col min="3074" max="3078" width="8.6640625" style="78" customWidth="1"/>
    <col min="3079" max="3079" width="10.33203125" style="78" customWidth="1"/>
    <col min="3080" max="3080" width="8.6640625" style="78" customWidth="1"/>
    <col min="3081" max="3081" width="9.5546875" style="78" customWidth="1"/>
    <col min="3082" max="3082" width="8.6640625" style="78" customWidth="1"/>
    <col min="3083" max="3083" width="10" style="78" customWidth="1"/>
    <col min="3084" max="3084" width="9.44140625" style="78" customWidth="1"/>
    <col min="3085" max="3328" width="9.109375" style="78"/>
    <col min="3329" max="3329" width="14.88671875" style="78" customWidth="1"/>
    <col min="3330" max="3334" width="8.6640625" style="78" customWidth="1"/>
    <col min="3335" max="3335" width="10.33203125" style="78" customWidth="1"/>
    <col min="3336" max="3336" width="8.6640625" style="78" customWidth="1"/>
    <col min="3337" max="3337" width="9.5546875" style="78" customWidth="1"/>
    <col min="3338" max="3338" width="8.6640625" style="78" customWidth="1"/>
    <col min="3339" max="3339" width="10" style="78" customWidth="1"/>
    <col min="3340" max="3340" width="9.44140625" style="78" customWidth="1"/>
    <col min="3341" max="3584" width="9.109375" style="78"/>
    <col min="3585" max="3585" width="14.88671875" style="78" customWidth="1"/>
    <col min="3586" max="3590" width="8.6640625" style="78" customWidth="1"/>
    <col min="3591" max="3591" width="10.33203125" style="78" customWidth="1"/>
    <col min="3592" max="3592" width="8.6640625" style="78" customWidth="1"/>
    <col min="3593" max="3593" width="9.5546875" style="78" customWidth="1"/>
    <col min="3594" max="3594" width="8.6640625" style="78" customWidth="1"/>
    <col min="3595" max="3595" width="10" style="78" customWidth="1"/>
    <col min="3596" max="3596" width="9.44140625" style="78" customWidth="1"/>
    <col min="3597" max="3840" width="9.109375" style="78"/>
    <col min="3841" max="3841" width="14.88671875" style="78" customWidth="1"/>
    <col min="3842" max="3846" width="8.6640625" style="78" customWidth="1"/>
    <col min="3847" max="3847" width="10.33203125" style="78" customWidth="1"/>
    <col min="3848" max="3848" width="8.6640625" style="78" customWidth="1"/>
    <col min="3849" max="3849" width="9.5546875" style="78" customWidth="1"/>
    <col min="3850" max="3850" width="8.6640625" style="78" customWidth="1"/>
    <col min="3851" max="3851" width="10" style="78" customWidth="1"/>
    <col min="3852" max="3852" width="9.44140625" style="78" customWidth="1"/>
    <col min="3853" max="4096" width="9.109375" style="78"/>
    <col min="4097" max="4097" width="14.88671875" style="78" customWidth="1"/>
    <col min="4098" max="4102" width="8.6640625" style="78" customWidth="1"/>
    <col min="4103" max="4103" width="10.33203125" style="78" customWidth="1"/>
    <col min="4104" max="4104" width="8.6640625" style="78" customWidth="1"/>
    <col min="4105" max="4105" width="9.5546875" style="78" customWidth="1"/>
    <col min="4106" max="4106" width="8.6640625" style="78" customWidth="1"/>
    <col min="4107" max="4107" width="10" style="78" customWidth="1"/>
    <col min="4108" max="4108" width="9.44140625" style="78" customWidth="1"/>
    <col min="4109" max="4352" width="9.109375" style="78"/>
    <col min="4353" max="4353" width="14.88671875" style="78" customWidth="1"/>
    <col min="4354" max="4358" width="8.6640625" style="78" customWidth="1"/>
    <col min="4359" max="4359" width="10.33203125" style="78" customWidth="1"/>
    <col min="4360" max="4360" width="8.6640625" style="78" customWidth="1"/>
    <col min="4361" max="4361" width="9.5546875" style="78" customWidth="1"/>
    <col min="4362" max="4362" width="8.6640625" style="78" customWidth="1"/>
    <col min="4363" max="4363" width="10" style="78" customWidth="1"/>
    <col min="4364" max="4364" width="9.44140625" style="78" customWidth="1"/>
    <col min="4365" max="4608" width="9.109375" style="78"/>
    <col min="4609" max="4609" width="14.88671875" style="78" customWidth="1"/>
    <col min="4610" max="4614" width="8.6640625" style="78" customWidth="1"/>
    <col min="4615" max="4615" width="10.33203125" style="78" customWidth="1"/>
    <col min="4616" max="4616" width="8.6640625" style="78" customWidth="1"/>
    <col min="4617" max="4617" width="9.5546875" style="78" customWidth="1"/>
    <col min="4618" max="4618" width="8.6640625" style="78" customWidth="1"/>
    <col min="4619" max="4619" width="10" style="78" customWidth="1"/>
    <col min="4620" max="4620" width="9.44140625" style="78" customWidth="1"/>
    <col min="4621" max="4864" width="9.109375" style="78"/>
    <col min="4865" max="4865" width="14.88671875" style="78" customWidth="1"/>
    <col min="4866" max="4870" width="8.6640625" style="78" customWidth="1"/>
    <col min="4871" max="4871" width="10.33203125" style="78" customWidth="1"/>
    <col min="4872" max="4872" width="8.6640625" style="78" customWidth="1"/>
    <col min="4873" max="4873" width="9.5546875" style="78" customWidth="1"/>
    <col min="4874" max="4874" width="8.6640625" style="78" customWidth="1"/>
    <col min="4875" max="4875" width="10" style="78" customWidth="1"/>
    <col min="4876" max="4876" width="9.44140625" style="78" customWidth="1"/>
    <col min="4877" max="5120" width="9.109375" style="78"/>
    <col min="5121" max="5121" width="14.88671875" style="78" customWidth="1"/>
    <col min="5122" max="5126" width="8.6640625" style="78" customWidth="1"/>
    <col min="5127" max="5127" width="10.33203125" style="78" customWidth="1"/>
    <col min="5128" max="5128" width="8.6640625" style="78" customWidth="1"/>
    <col min="5129" max="5129" width="9.5546875" style="78" customWidth="1"/>
    <col min="5130" max="5130" width="8.6640625" style="78" customWidth="1"/>
    <col min="5131" max="5131" width="10" style="78" customWidth="1"/>
    <col min="5132" max="5132" width="9.44140625" style="78" customWidth="1"/>
    <col min="5133" max="5376" width="9.109375" style="78"/>
    <col min="5377" max="5377" width="14.88671875" style="78" customWidth="1"/>
    <col min="5378" max="5382" width="8.6640625" style="78" customWidth="1"/>
    <col min="5383" max="5383" width="10.33203125" style="78" customWidth="1"/>
    <col min="5384" max="5384" width="8.6640625" style="78" customWidth="1"/>
    <col min="5385" max="5385" width="9.5546875" style="78" customWidth="1"/>
    <col min="5386" max="5386" width="8.6640625" style="78" customWidth="1"/>
    <col min="5387" max="5387" width="10" style="78" customWidth="1"/>
    <col min="5388" max="5388" width="9.44140625" style="78" customWidth="1"/>
    <col min="5389" max="5632" width="9.109375" style="78"/>
    <col min="5633" max="5633" width="14.88671875" style="78" customWidth="1"/>
    <col min="5634" max="5638" width="8.6640625" style="78" customWidth="1"/>
    <col min="5639" max="5639" width="10.33203125" style="78" customWidth="1"/>
    <col min="5640" max="5640" width="8.6640625" style="78" customWidth="1"/>
    <col min="5641" max="5641" width="9.5546875" style="78" customWidth="1"/>
    <col min="5642" max="5642" width="8.6640625" style="78" customWidth="1"/>
    <col min="5643" max="5643" width="10" style="78" customWidth="1"/>
    <col min="5644" max="5644" width="9.44140625" style="78" customWidth="1"/>
    <col min="5645" max="5888" width="9.109375" style="78"/>
    <col min="5889" max="5889" width="14.88671875" style="78" customWidth="1"/>
    <col min="5890" max="5894" width="8.6640625" style="78" customWidth="1"/>
    <col min="5895" max="5895" width="10.33203125" style="78" customWidth="1"/>
    <col min="5896" max="5896" width="8.6640625" style="78" customWidth="1"/>
    <col min="5897" max="5897" width="9.5546875" style="78" customWidth="1"/>
    <col min="5898" max="5898" width="8.6640625" style="78" customWidth="1"/>
    <col min="5899" max="5899" width="10" style="78" customWidth="1"/>
    <col min="5900" max="5900" width="9.44140625" style="78" customWidth="1"/>
    <col min="5901" max="6144" width="9.109375" style="78"/>
    <col min="6145" max="6145" width="14.88671875" style="78" customWidth="1"/>
    <col min="6146" max="6150" width="8.6640625" style="78" customWidth="1"/>
    <col min="6151" max="6151" width="10.33203125" style="78" customWidth="1"/>
    <col min="6152" max="6152" width="8.6640625" style="78" customWidth="1"/>
    <col min="6153" max="6153" width="9.5546875" style="78" customWidth="1"/>
    <col min="6154" max="6154" width="8.6640625" style="78" customWidth="1"/>
    <col min="6155" max="6155" width="10" style="78" customWidth="1"/>
    <col min="6156" max="6156" width="9.44140625" style="78" customWidth="1"/>
    <col min="6157" max="6400" width="9.109375" style="78"/>
    <col min="6401" max="6401" width="14.88671875" style="78" customWidth="1"/>
    <col min="6402" max="6406" width="8.6640625" style="78" customWidth="1"/>
    <col min="6407" max="6407" width="10.33203125" style="78" customWidth="1"/>
    <col min="6408" max="6408" width="8.6640625" style="78" customWidth="1"/>
    <col min="6409" max="6409" width="9.5546875" style="78" customWidth="1"/>
    <col min="6410" max="6410" width="8.6640625" style="78" customWidth="1"/>
    <col min="6411" max="6411" width="10" style="78" customWidth="1"/>
    <col min="6412" max="6412" width="9.44140625" style="78" customWidth="1"/>
    <col min="6413" max="6656" width="9.109375" style="78"/>
    <col min="6657" max="6657" width="14.88671875" style="78" customWidth="1"/>
    <col min="6658" max="6662" width="8.6640625" style="78" customWidth="1"/>
    <col min="6663" max="6663" width="10.33203125" style="78" customWidth="1"/>
    <col min="6664" max="6664" width="8.6640625" style="78" customWidth="1"/>
    <col min="6665" max="6665" width="9.5546875" style="78" customWidth="1"/>
    <col min="6666" max="6666" width="8.6640625" style="78" customWidth="1"/>
    <col min="6667" max="6667" width="10" style="78" customWidth="1"/>
    <col min="6668" max="6668" width="9.44140625" style="78" customWidth="1"/>
    <col min="6669" max="6912" width="9.109375" style="78"/>
    <col min="6913" max="6913" width="14.88671875" style="78" customWidth="1"/>
    <col min="6914" max="6918" width="8.6640625" style="78" customWidth="1"/>
    <col min="6919" max="6919" width="10.33203125" style="78" customWidth="1"/>
    <col min="6920" max="6920" width="8.6640625" style="78" customWidth="1"/>
    <col min="6921" max="6921" width="9.5546875" style="78" customWidth="1"/>
    <col min="6922" max="6922" width="8.6640625" style="78" customWidth="1"/>
    <col min="6923" max="6923" width="10" style="78" customWidth="1"/>
    <col min="6924" max="6924" width="9.44140625" style="78" customWidth="1"/>
    <col min="6925" max="7168" width="9.109375" style="78"/>
    <col min="7169" max="7169" width="14.88671875" style="78" customWidth="1"/>
    <col min="7170" max="7174" width="8.6640625" style="78" customWidth="1"/>
    <col min="7175" max="7175" width="10.33203125" style="78" customWidth="1"/>
    <col min="7176" max="7176" width="8.6640625" style="78" customWidth="1"/>
    <col min="7177" max="7177" width="9.5546875" style="78" customWidth="1"/>
    <col min="7178" max="7178" width="8.6640625" style="78" customWidth="1"/>
    <col min="7179" max="7179" width="10" style="78" customWidth="1"/>
    <col min="7180" max="7180" width="9.44140625" style="78" customWidth="1"/>
    <col min="7181" max="7424" width="9.109375" style="78"/>
    <col min="7425" max="7425" width="14.88671875" style="78" customWidth="1"/>
    <col min="7426" max="7430" width="8.6640625" style="78" customWidth="1"/>
    <col min="7431" max="7431" width="10.33203125" style="78" customWidth="1"/>
    <col min="7432" max="7432" width="8.6640625" style="78" customWidth="1"/>
    <col min="7433" max="7433" width="9.5546875" style="78" customWidth="1"/>
    <col min="7434" max="7434" width="8.6640625" style="78" customWidth="1"/>
    <col min="7435" max="7435" width="10" style="78" customWidth="1"/>
    <col min="7436" max="7436" width="9.44140625" style="78" customWidth="1"/>
    <col min="7437" max="7680" width="9.109375" style="78"/>
    <col min="7681" max="7681" width="14.88671875" style="78" customWidth="1"/>
    <col min="7682" max="7686" width="8.6640625" style="78" customWidth="1"/>
    <col min="7687" max="7687" width="10.33203125" style="78" customWidth="1"/>
    <col min="7688" max="7688" width="8.6640625" style="78" customWidth="1"/>
    <col min="7689" max="7689" width="9.5546875" style="78" customWidth="1"/>
    <col min="7690" max="7690" width="8.6640625" style="78" customWidth="1"/>
    <col min="7691" max="7691" width="10" style="78" customWidth="1"/>
    <col min="7692" max="7692" width="9.44140625" style="78" customWidth="1"/>
    <col min="7693" max="7936" width="9.109375" style="78"/>
    <col min="7937" max="7937" width="14.88671875" style="78" customWidth="1"/>
    <col min="7938" max="7942" width="8.6640625" style="78" customWidth="1"/>
    <col min="7943" max="7943" width="10.33203125" style="78" customWidth="1"/>
    <col min="7944" max="7944" width="8.6640625" style="78" customWidth="1"/>
    <col min="7945" max="7945" width="9.5546875" style="78" customWidth="1"/>
    <col min="7946" max="7946" width="8.6640625" style="78" customWidth="1"/>
    <col min="7947" max="7947" width="10" style="78" customWidth="1"/>
    <col min="7948" max="7948" width="9.44140625" style="78" customWidth="1"/>
    <col min="7949" max="8192" width="9.109375" style="78"/>
    <col min="8193" max="8193" width="14.88671875" style="78" customWidth="1"/>
    <col min="8194" max="8198" width="8.6640625" style="78" customWidth="1"/>
    <col min="8199" max="8199" width="10.33203125" style="78" customWidth="1"/>
    <col min="8200" max="8200" width="8.6640625" style="78" customWidth="1"/>
    <col min="8201" max="8201" width="9.5546875" style="78" customWidth="1"/>
    <col min="8202" max="8202" width="8.6640625" style="78" customWidth="1"/>
    <col min="8203" max="8203" width="10" style="78" customWidth="1"/>
    <col min="8204" max="8204" width="9.44140625" style="78" customWidth="1"/>
    <col min="8205" max="8448" width="9.109375" style="78"/>
    <col min="8449" max="8449" width="14.88671875" style="78" customWidth="1"/>
    <col min="8450" max="8454" width="8.6640625" style="78" customWidth="1"/>
    <col min="8455" max="8455" width="10.33203125" style="78" customWidth="1"/>
    <col min="8456" max="8456" width="8.6640625" style="78" customWidth="1"/>
    <col min="8457" max="8457" width="9.5546875" style="78" customWidth="1"/>
    <col min="8458" max="8458" width="8.6640625" style="78" customWidth="1"/>
    <col min="8459" max="8459" width="10" style="78" customWidth="1"/>
    <col min="8460" max="8460" width="9.44140625" style="78" customWidth="1"/>
    <col min="8461" max="8704" width="9.109375" style="78"/>
    <col min="8705" max="8705" width="14.88671875" style="78" customWidth="1"/>
    <col min="8706" max="8710" width="8.6640625" style="78" customWidth="1"/>
    <col min="8711" max="8711" width="10.33203125" style="78" customWidth="1"/>
    <col min="8712" max="8712" width="8.6640625" style="78" customWidth="1"/>
    <col min="8713" max="8713" width="9.5546875" style="78" customWidth="1"/>
    <col min="8714" max="8714" width="8.6640625" style="78" customWidth="1"/>
    <col min="8715" max="8715" width="10" style="78" customWidth="1"/>
    <col min="8716" max="8716" width="9.44140625" style="78" customWidth="1"/>
    <col min="8717" max="8960" width="9.109375" style="78"/>
    <col min="8961" max="8961" width="14.88671875" style="78" customWidth="1"/>
    <col min="8962" max="8966" width="8.6640625" style="78" customWidth="1"/>
    <col min="8967" max="8967" width="10.33203125" style="78" customWidth="1"/>
    <col min="8968" max="8968" width="8.6640625" style="78" customWidth="1"/>
    <col min="8969" max="8969" width="9.5546875" style="78" customWidth="1"/>
    <col min="8970" max="8970" width="8.6640625" style="78" customWidth="1"/>
    <col min="8971" max="8971" width="10" style="78" customWidth="1"/>
    <col min="8972" max="8972" width="9.44140625" style="78" customWidth="1"/>
    <col min="8973" max="9216" width="9.109375" style="78"/>
    <col min="9217" max="9217" width="14.88671875" style="78" customWidth="1"/>
    <col min="9218" max="9222" width="8.6640625" style="78" customWidth="1"/>
    <col min="9223" max="9223" width="10.33203125" style="78" customWidth="1"/>
    <col min="9224" max="9224" width="8.6640625" style="78" customWidth="1"/>
    <col min="9225" max="9225" width="9.5546875" style="78" customWidth="1"/>
    <col min="9226" max="9226" width="8.6640625" style="78" customWidth="1"/>
    <col min="9227" max="9227" width="10" style="78" customWidth="1"/>
    <col min="9228" max="9228" width="9.44140625" style="78" customWidth="1"/>
    <col min="9229" max="9472" width="9.109375" style="78"/>
    <col min="9473" max="9473" width="14.88671875" style="78" customWidth="1"/>
    <col min="9474" max="9478" width="8.6640625" style="78" customWidth="1"/>
    <col min="9479" max="9479" width="10.33203125" style="78" customWidth="1"/>
    <col min="9480" max="9480" width="8.6640625" style="78" customWidth="1"/>
    <col min="9481" max="9481" width="9.5546875" style="78" customWidth="1"/>
    <col min="9482" max="9482" width="8.6640625" style="78" customWidth="1"/>
    <col min="9483" max="9483" width="10" style="78" customWidth="1"/>
    <col min="9484" max="9484" width="9.44140625" style="78" customWidth="1"/>
    <col min="9485" max="9728" width="9.109375" style="78"/>
    <col min="9729" max="9729" width="14.88671875" style="78" customWidth="1"/>
    <col min="9730" max="9734" width="8.6640625" style="78" customWidth="1"/>
    <col min="9735" max="9735" width="10.33203125" style="78" customWidth="1"/>
    <col min="9736" max="9736" width="8.6640625" style="78" customWidth="1"/>
    <col min="9737" max="9737" width="9.5546875" style="78" customWidth="1"/>
    <col min="9738" max="9738" width="8.6640625" style="78" customWidth="1"/>
    <col min="9739" max="9739" width="10" style="78" customWidth="1"/>
    <col min="9740" max="9740" width="9.44140625" style="78" customWidth="1"/>
    <col min="9741" max="9984" width="9.109375" style="78"/>
    <col min="9985" max="9985" width="14.88671875" style="78" customWidth="1"/>
    <col min="9986" max="9990" width="8.6640625" style="78" customWidth="1"/>
    <col min="9991" max="9991" width="10.33203125" style="78" customWidth="1"/>
    <col min="9992" max="9992" width="8.6640625" style="78" customWidth="1"/>
    <col min="9993" max="9993" width="9.5546875" style="78" customWidth="1"/>
    <col min="9994" max="9994" width="8.6640625" style="78" customWidth="1"/>
    <col min="9995" max="9995" width="10" style="78" customWidth="1"/>
    <col min="9996" max="9996" width="9.44140625" style="78" customWidth="1"/>
    <col min="9997" max="10240" width="9.109375" style="78"/>
    <col min="10241" max="10241" width="14.88671875" style="78" customWidth="1"/>
    <col min="10242" max="10246" width="8.6640625" style="78" customWidth="1"/>
    <col min="10247" max="10247" width="10.33203125" style="78" customWidth="1"/>
    <col min="10248" max="10248" width="8.6640625" style="78" customWidth="1"/>
    <col min="10249" max="10249" width="9.5546875" style="78" customWidth="1"/>
    <col min="10250" max="10250" width="8.6640625" style="78" customWidth="1"/>
    <col min="10251" max="10251" width="10" style="78" customWidth="1"/>
    <col min="10252" max="10252" width="9.44140625" style="78" customWidth="1"/>
    <col min="10253" max="10496" width="9.109375" style="78"/>
    <col min="10497" max="10497" width="14.88671875" style="78" customWidth="1"/>
    <col min="10498" max="10502" width="8.6640625" style="78" customWidth="1"/>
    <col min="10503" max="10503" width="10.33203125" style="78" customWidth="1"/>
    <col min="10504" max="10504" width="8.6640625" style="78" customWidth="1"/>
    <col min="10505" max="10505" width="9.5546875" style="78" customWidth="1"/>
    <col min="10506" max="10506" width="8.6640625" style="78" customWidth="1"/>
    <col min="10507" max="10507" width="10" style="78" customWidth="1"/>
    <col min="10508" max="10508" width="9.44140625" style="78" customWidth="1"/>
    <col min="10509" max="10752" width="9.109375" style="78"/>
    <col min="10753" max="10753" width="14.88671875" style="78" customWidth="1"/>
    <col min="10754" max="10758" width="8.6640625" style="78" customWidth="1"/>
    <col min="10759" max="10759" width="10.33203125" style="78" customWidth="1"/>
    <col min="10760" max="10760" width="8.6640625" style="78" customWidth="1"/>
    <col min="10761" max="10761" width="9.5546875" style="78" customWidth="1"/>
    <col min="10762" max="10762" width="8.6640625" style="78" customWidth="1"/>
    <col min="10763" max="10763" width="10" style="78" customWidth="1"/>
    <col min="10764" max="10764" width="9.44140625" style="78" customWidth="1"/>
    <col min="10765" max="11008" width="9.109375" style="78"/>
    <col min="11009" max="11009" width="14.88671875" style="78" customWidth="1"/>
    <col min="11010" max="11014" width="8.6640625" style="78" customWidth="1"/>
    <col min="11015" max="11015" width="10.33203125" style="78" customWidth="1"/>
    <col min="11016" max="11016" width="8.6640625" style="78" customWidth="1"/>
    <col min="11017" max="11017" width="9.5546875" style="78" customWidth="1"/>
    <col min="11018" max="11018" width="8.6640625" style="78" customWidth="1"/>
    <col min="11019" max="11019" width="10" style="78" customWidth="1"/>
    <col min="11020" max="11020" width="9.44140625" style="78" customWidth="1"/>
    <col min="11021" max="11264" width="9.109375" style="78"/>
    <col min="11265" max="11265" width="14.88671875" style="78" customWidth="1"/>
    <col min="11266" max="11270" width="8.6640625" style="78" customWidth="1"/>
    <col min="11271" max="11271" width="10.33203125" style="78" customWidth="1"/>
    <col min="11272" max="11272" width="8.6640625" style="78" customWidth="1"/>
    <col min="11273" max="11273" width="9.5546875" style="78" customWidth="1"/>
    <col min="11274" max="11274" width="8.6640625" style="78" customWidth="1"/>
    <col min="11275" max="11275" width="10" style="78" customWidth="1"/>
    <col min="11276" max="11276" width="9.44140625" style="78" customWidth="1"/>
    <col min="11277" max="11520" width="9.109375" style="78"/>
    <col min="11521" max="11521" width="14.88671875" style="78" customWidth="1"/>
    <col min="11522" max="11526" width="8.6640625" style="78" customWidth="1"/>
    <col min="11527" max="11527" width="10.33203125" style="78" customWidth="1"/>
    <col min="11528" max="11528" width="8.6640625" style="78" customWidth="1"/>
    <col min="11529" max="11529" width="9.5546875" style="78" customWidth="1"/>
    <col min="11530" max="11530" width="8.6640625" style="78" customWidth="1"/>
    <col min="11531" max="11531" width="10" style="78" customWidth="1"/>
    <col min="11532" max="11532" width="9.44140625" style="78" customWidth="1"/>
    <col min="11533" max="11776" width="9.109375" style="78"/>
    <col min="11777" max="11777" width="14.88671875" style="78" customWidth="1"/>
    <col min="11778" max="11782" width="8.6640625" style="78" customWidth="1"/>
    <col min="11783" max="11783" width="10.33203125" style="78" customWidth="1"/>
    <col min="11784" max="11784" width="8.6640625" style="78" customWidth="1"/>
    <col min="11785" max="11785" width="9.5546875" style="78" customWidth="1"/>
    <col min="11786" max="11786" width="8.6640625" style="78" customWidth="1"/>
    <col min="11787" max="11787" width="10" style="78" customWidth="1"/>
    <col min="11788" max="11788" width="9.44140625" style="78" customWidth="1"/>
    <col min="11789" max="12032" width="9.109375" style="78"/>
    <col min="12033" max="12033" width="14.88671875" style="78" customWidth="1"/>
    <col min="12034" max="12038" width="8.6640625" style="78" customWidth="1"/>
    <col min="12039" max="12039" width="10.33203125" style="78" customWidth="1"/>
    <col min="12040" max="12040" width="8.6640625" style="78" customWidth="1"/>
    <col min="12041" max="12041" width="9.5546875" style="78" customWidth="1"/>
    <col min="12042" max="12042" width="8.6640625" style="78" customWidth="1"/>
    <col min="12043" max="12043" width="10" style="78" customWidth="1"/>
    <col min="12044" max="12044" width="9.44140625" style="78" customWidth="1"/>
    <col min="12045" max="12288" width="9.109375" style="78"/>
    <col min="12289" max="12289" width="14.88671875" style="78" customWidth="1"/>
    <col min="12290" max="12294" width="8.6640625" style="78" customWidth="1"/>
    <col min="12295" max="12295" width="10.33203125" style="78" customWidth="1"/>
    <col min="12296" max="12296" width="8.6640625" style="78" customWidth="1"/>
    <col min="12297" max="12297" width="9.5546875" style="78" customWidth="1"/>
    <col min="12298" max="12298" width="8.6640625" style="78" customWidth="1"/>
    <col min="12299" max="12299" width="10" style="78" customWidth="1"/>
    <col min="12300" max="12300" width="9.44140625" style="78" customWidth="1"/>
    <col min="12301" max="12544" width="9.109375" style="78"/>
    <col min="12545" max="12545" width="14.88671875" style="78" customWidth="1"/>
    <col min="12546" max="12550" width="8.6640625" style="78" customWidth="1"/>
    <col min="12551" max="12551" width="10.33203125" style="78" customWidth="1"/>
    <col min="12552" max="12552" width="8.6640625" style="78" customWidth="1"/>
    <col min="12553" max="12553" width="9.5546875" style="78" customWidth="1"/>
    <col min="12554" max="12554" width="8.6640625" style="78" customWidth="1"/>
    <col min="12555" max="12555" width="10" style="78" customWidth="1"/>
    <col min="12556" max="12556" width="9.44140625" style="78" customWidth="1"/>
    <col min="12557" max="12800" width="9.109375" style="78"/>
    <col min="12801" max="12801" width="14.88671875" style="78" customWidth="1"/>
    <col min="12802" max="12806" width="8.6640625" style="78" customWidth="1"/>
    <col min="12807" max="12807" width="10.33203125" style="78" customWidth="1"/>
    <col min="12808" max="12808" width="8.6640625" style="78" customWidth="1"/>
    <col min="12809" max="12809" width="9.5546875" style="78" customWidth="1"/>
    <col min="12810" max="12810" width="8.6640625" style="78" customWidth="1"/>
    <col min="12811" max="12811" width="10" style="78" customWidth="1"/>
    <col min="12812" max="12812" width="9.44140625" style="78" customWidth="1"/>
    <col min="12813" max="13056" width="9.109375" style="78"/>
    <col min="13057" max="13057" width="14.88671875" style="78" customWidth="1"/>
    <col min="13058" max="13062" width="8.6640625" style="78" customWidth="1"/>
    <col min="13063" max="13063" width="10.33203125" style="78" customWidth="1"/>
    <col min="13064" max="13064" width="8.6640625" style="78" customWidth="1"/>
    <col min="13065" max="13065" width="9.5546875" style="78" customWidth="1"/>
    <col min="13066" max="13066" width="8.6640625" style="78" customWidth="1"/>
    <col min="13067" max="13067" width="10" style="78" customWidth="1"/>
    <col min="13068" max="13068" width="9.44140625" style="78" customWidth="1"/>
    <col min="13069" max="13312" width="9.109375" style="78"/>
    <col min="13313" max="13313" width="14.88671875" style="78" customWidth="1"/>
    <col min="13314" max="13318" width="8.6640625" style="78" customWidth="1"/>
    <col min="13319" max="13319" width="10.33203125" style="78" customWidth="1"/>
    <col min="13320" max="13320" width="8.6640625" style="78" customWidth="1"/>
    <col min="13321" max="13321" width="9.5546875" style="78" customWidth="1"/>
    <col min="13322" max="13322" width="8.6640625" style="78" customWidth="1"/>
    <col min="13323" max="13323" width="10" style="78" customWidth="1"/>
    <col min="13324" max="13324" width="9.44140625" style="78" customWidth="1"/>
    <col min="13325" max="13568" width="9.109375" style="78"/>
    <col min="13569" max="13569" width="14.88671875" style="78" customWidth="1"/>
    <col min="13570" max="13574" width="8.6640625" style="78" customWidth="1"/>
    <col min="13575" max="13575" width="10.33203125" style="78" customWidth="1"/>
    <col min="13576" max="13576" width="8.6640625" style="78" customWidth="1"/>
    <col min="13577" max="13577" width="9.5546875" style="78" customWidth="1"/>
    <col min="13578" max="13578" width="8.6640625" style="78" customWidth="1"/>
    <col min="13579" max="13579" width="10" style="78" customWidth="1"/>
    <col min="13580" max="13580" width="9.44140625" style="78" customWidth="1"/>
    <col min="13581" max="13824" width="9.109375" style="78"/>
    <col min="13825" max="13825" width="14.88671875" style="78" customWidth="1"/>
    <col min="13826" max="13830" width="8.6640625" style="78" customWidth="1"/>
    <col min="13831" max="13831" width="10.33203125" style="78" customWidth="1"/>
    <col min="13832" max="13832" width="8.6640625" style="78" customWidth="1"/>
    <col min="13833" max="13833" width="9.5546875" style="78" customWidth="1"/>
    <col min="13834" max="13834" width="8.6640625" style="78" customWidth="1"/>
    <col min="13835" max="13835" width="10" style="78" customWidth="1"/>
    <col min="13836" max="13836" width="9.44140625" style="78" customWidth="1"/>
    <col min="13837" max="14080" width="9.109375" style="78"/>
    <col min="14081" max="14081" width="14.88671875" style="78" customWidth="1"/>
    <col min="14082" max="14086" width="8.6640625" style="78" customWidth="1"/>
    <col min="14087" max="14087" width="10.33203125" style="78" customWidth="1"/>
    <col min="14088" max="14088" width="8.6640625" style="78" customWidth="1"/>
    <col min="14089" max="14089" width="9.5546875" style="78" customWidth="1"/>
    <col min="14090" max="14090" width="8.6640625" style="78" customWidth="1"/>
    <col min="14091" max="14091" width="10" style="78" customWidth="1"/>
    <col min="14092" max="14092" width="9.44140625" style="78" customWidth="1"/>
    <col min="14093" max="14336" width="9.109375" style="78"/>
    <col min="14337" max="14337" width="14.88671875" style="78" customWidth="1"/>
    <col min="14338" max="14342" width="8.6640625" style="78" customWidth="1"/>
    <col min="14343" max="14343" width="10.33203125" style="78" customWidth="1"/>
    <col min="14344" max="14344" width="8.6640625" style="78" customWidth="1"/>
    <col min="14345" max="14345" width="9.5546875" style="78" customWidth="1"/>
    <col min="14346" max="14346" width="8.6640625" style="78" customWidth="1"/>
    <col min="14347" max="14347" width="10" style="78" customWidth="1"/>
    <col min="14348" max="14348" width="9.44140625" style="78" customWidth="1"/>
    <col min="14349" max="14592" width="9.109375" style="78"/>
    <col min="14593" max="14593" width="14.88671875" style="78" customWidth="1"/>
    <col min="14594" max="14598" width="8.6640625" style="78" customWidth="1"/>
    <col min="14599" max="14599" width="10.33203125" style="78" customWidth="1"/>
    <col min="14600" max="14600" width="8.6640625" style="78" customWidth="1"/>
    <col min="14601" max="14601" width="9.5546875" style="78" customWidth="1"/>
    <col min="14602" max="14602" width="8.6640625" style="78" customWidth="1"/>
    <col min="14603" max="14603" width="10" style="78" customWidth="1"/>
    <col min="14604" max="14604" width="9.44140625" style="78" customWidth="1"/>
    <col min="14605" max="14848" width="9.109375" style="78"/>
    <col min="14849" max="14849" width="14.88671875" style="78" customWidth="1"/>
    <col min="14850" max="14854" width="8.6640625" style="78" customWidth="1"/>
    <col min="14855" max="14855" width="10.33203125" style="78" customWidth="1"/>
    <col min="14856" max="14856" width="8.6640625" style="78" customWidth="1"/>
    <col min="14857" max="14857" width="9.5546875" style="78" customWidth="1"/>
    <col min="14858" max="14858" width="8.6640625" style="78" customWidth="1"/>
    <col min="14859" max="14859" width="10" style="78" customWidth="1"/>
    <col min="14860" max="14860" width="9.44140625" style="78" customWidth="1"/>
    <col min="14861" max="15104" width="9.109375" style="78"/>
    <col min="15105" max="15105" width="14.88671875" style="78" customWidth="1"/>
    <col min="15106" max="15110" width="8.6640625" style="78" customWidth="1"/>
    <col min="15111" max="15111" width="10.33203125" style="78" customWidth="1"/>
    <col min="15112" max="15112" width="8.6640625" style="78" customWidth="1"/>
    <col min="15113" max="15113" width="9.5546875" style="78" customWidth="1"/>
    <col min="15114" max="15114" width="8.6640625" style="78" customWidth="1"/>
    <col min="15115" max="15115" width="10" style="78" customWidth="1"/>
    <col min="15116" max="15116" width="9.44140625" style="78" customWidth="1"/>
    <col min="15117" max="15360" width="9.109375" style="78"/>
    <col min="15361" max="15361" width="14.88671875" style="78" customWidth="1"/>
    <col min="15362" max="15366" width="8.6640625" style="78" customWidth="1"/>
    <col min="15367" max="15367" width="10.33203125" style="78" customWidth="1"/>
    <col min="15368" max="15368" width="8.6640625" style="78" customWidth="1"/>
    <col min="15369" max="15369" width="9.5546875" style="78" customWidth="1"/>
    <col min="15370" max="15370" width="8.6640625" style="78" customWidth="1"/>
    <col min="15371" max="15371" width="10" style="78" customWidth="1"/>
    <col min="15372" max="15372" width="9.44140625" style="78" customWidth="1"/>
    <col min="15373" max="15616" width="9.109375" style="78"/>
    <col min="15617" max="15617" width="14.88671875" style="78" customWidth="1"/>
    <col min="15618" max="15622" width="8.6640625" style="78" customWidth="1"/>
    <col min="15623" max="15623" width="10.33203125" style="78" customWidth="1"/>
    <col min="15624" max="15624" width="8.6640625" style="78" customWidth="1"/>
    <col min="15625" max="15625" width="9.5546875" style="78" customWidth="1"/>
    <col min="15626" max="15626" width="8.6640625" style="78" customWidth="1"/>
    <col min="15627" max="15627" width="10" style="78" customWidth="1"/>
    <col min="15628" max="15628" width="9.44140625" style="78" customWidth="1"/>
    <col min="15629" max="15872" width="9.109375" style="78"/>
    <col min="15873" max="15873" width="14.88671875" style="78" customWidth="1"/>
    <col min="15874" max="15878" width="8.6640625" style="78" customWidth="1"/>
    <col min="15879" max="15879" width="10.33203125" style="78" customWidth="1"/>
    <col min="15880" max="15880" width="8.6640625" style="78" customWidth="1"/>
    <col min="15881" max="15881" width="9.5546875" style="78" customWidth="1"/>
    <col min="15882" max="15882" width="8.6640625" style="78" customWidth="1"/>
    <col min="15883" max="15883" width="10" style="78" customWidth="1"/>
    <col min="15884" max="15884" width="9.44140625" style="78" customWidth="1"/>
    <col min="15885" max="16128" width="9.109375" style="78"/>
    <col min="16129" max="16129" width="14.88671875" style="78" customWidth="1"/>
    <col min="16130" max="16134" width="8.6640625" style="78" customWidth="1"/>
    <col min="16135" max="16135" width="10.33203125" style="78" customWidth="1"/>
    <col min="16136" max="16136" width="8.6640625" style="78" customWidth="1"/>
    <col min="16137" max="16137" width="9.5546875" style="78" customWidth="1"/>
    <col min="16138" max="16138" width="8.6640625" style="78" customWidth="1"/>
    <col min="16139" max="16139" width="10" style="78" customWidth="1"/>
    <col min="16140" max="16140" width="9.44140625" style="78" customWidth="1"/>
    <col min="16141" max="16384" width="9.109375" style="78"/>
  </cols>
  <sheetData>
    <row r="1" spans="1:12">
      <c r="A1" s="78" t="s">
        <v>111</v>
      </c>
    </row>
    <row r="2" spans="1:12" ht="13.8">
      <c r="A2" s="79" t="s">
        <v>112</v>
      </c>
    </row>
    <row r="3" spans="1:12" s="86" customFormat="1">
      <c r="A3" s="80" t="s">
        <v>113</v>
      </c>
      <c r="B3" s="81"/>
      <c r="C3" s="81"/>
      <c r="D3" s="82" t="s">
        <v>114</v>
      </c>
      <c r="E3" s="83"/>
      <c r="F3" s="83" t="s">
        <v>115</v>
      </c>
      <c r="G3" s="81"/>
      <c r="H3" s="84" t="s">
        <v>116</v>
      </c>
      <c r="I3" s="85">
        <f>D4/F4</f>
        <v>0.75002727272727265</v>
      </c>
    </row>
    <row r="4" spans="1:12">
      <c r="A4" s="87" t="s">
        <v>117</v>
      </c>
      <c r="B4" s="88">
        <v>12</v>
      </c>
      <c r="C4" s="89" t="s">
        <v>118</v>
      </c>
      <c r="D4" s="90">
        <v>91.67</v>
      </c>
      <c r="E4" s="89" t="s">
        <v>119</v>
      </c>
      <c r="F4" s="88">
        <f>B33/0.09</f>
        <v>122.22222222222223</v>
      </c>
      <c r="G4" s="91">
        <f>F4*100000</f>
        <v>12222222.222222222</v>
      </c>
      <c r="H4" s="84" t="s">
        <v>120</v>
      </c>
      <c r="I4" s="85">
        <f>D4/F5</f>
        <v>0.65060382267387151</v>
      </c>
    </row>
    <row r="5" spans="1:12">
      <c r="A5" s="87" t="s">
        <v>121</v>
      </c>
      <c r="B5" s="92">
        <v>0.03</v>
      </c>
      <c r="C5" s="89" t="s">
        <v>122</v>
      </c>
      <c r="D5" s="87">
        <v>1000</v>
      </c>
      <c r="E5" s="89" t="s">
        <v>123</v>
      </c>
      <c r="F5" s="93">
        <f>NPV(0.1,B38:K38)</f>
        <v>140.89987916648235</v>
      </c>
      <c r="G5" s="91">
        <f>F5*100000</f>
        <v>14089987.916648235</v>
      </c>
      <c r="H5" s="81" t="s">
        <v>124</v>
      </c>
      <c r="I5" s="85">
        <f>K20/K19</f>
        <v>0.54273858382168849</v>
      </c>
    </row>
    <row r="6" spans="1:12">
      <c r="A6" s="87" t="s">
        <v>125</v>
      </c>
      <c r="B6" s="92">
        <v>0.09</v>
      </c>
      <c r="C6" s="89" t="s">
        <v>126</v>
      </c>
      <c r="D6" s="92">
        <v>7.8700000000000006E-2</v>
      </c>
      <c r="E6" s="87"/>
      <c r="F6" s="87"/>
      <c r="G6" s="87"/>
      <c r="H6" s="87"/>
      <c r="I6" s="85"/>
    </row>
    <row r="7" spans="1:12">
      <c r="A7" s="87" t="s">
        <v>127</v>
      </c>
      <c r="B7" s="87">
        <v>3</v>
      </c>
      <c r="C7" s="92">
        <v>0</v>
      </c>
      <c r="D7" s="94" t="s">
        <v>128</v>
      </c>
      <c r="E7" s="87"/>
      <c r="F7" s="87"/>
      <c r="G7" s="87"/>
      <c r="H7" s="87"/>
      <c r="I7" s="87"/>
    </row>
    <row r="8" spans="1:12">
      <c r="A8" s="87"/>
      <c r="B8" s="87" t="s">
        <v>129</v>
      </c>
      <c r="C8" s="92" t="s">
        <v>130</v>
      </c>
      <c r="D8" s="87" t="s">
        <v>131</v>
      </c>
      <c r="E8" s="92">
        <f>IRR(A44:K44,0.1)</f>
        <v>0.2123466799639897</v>
      </c>
      <c r="F8" s="87"/>
      <c r="G8" s="87"/>
      <c r="H8" s="87"/>
      <c r="I8" s="87"/>
    </row>
    <row r="9" spans="1:12">
      <c r="A9" s="87" t="s">
        <v>132</v>
      </c>
      <c r="B9" s="90">
        <v>0</v>
      </c>
      <c r="C9" s="90">
        <v>0</v>
      </c>
      <c r="D9" s="94"/>
      <c r="E9" s="87"/>
      <c r="F9" s="87"/>
      <c r="G9" s="87"/>
      <c r="H9" s="87"/>
      <c r="I9" s="87"/>
    </row>
    <row r="10" spans="1:12" ht="13.8" thickBot="1">
      <c r="A10" s="87" t="s">
        <v>133</v>
      </c>
      <c r="B10" s="90">
        <v>0</v>
      </c>
      <c r="C10" s="90">
        <v>0</v>
      </c>
      <c r="D10" s="94"/>
      <c r="E10" s="87"/>
      <c r="F10" s="87"/>
      <c r="G10" s="87"/>
      <c r="H10" s="87"/>
      <c r="I10" s="87"/>
    </row>
    <row r="11" spans="1:12">
      <c r="A11" s="95" t="s">
        <v>134</v>
      </c>
      <c r="B11" s="96">
        <v>1</v>
      </c>
      <c r="C11" s="96">
        <v>2</v>
      </c>
      <c r="D11" s="96">
        <v>3</v>
      </c>
      <c r="E11" s="96">
        <v>4</v>
      </c>
      <c r="F11" s="96">
        <v>5</v>
      </c>
      <c r="G11" s="96">
        <v>6</v>
      </c>
      <c r="H11" s="96">
        <v>7</v>
      </c>
      <c r="I11" s="96">
        <v>8</v>
      </c>
      <c r="J11" s="96">
        <v>9</v>
      </c>
      <c r="K11" s="97">
        <v>10</v>
      </c>
      <c r="L11" s="83" t="s">
        <v>135</v>
      </c>
    </row>
    <row r="12" spans="1:12">
      <c r="A12" s="98" t="s">
        <v>136</v>
      </c>
      <c r="B12" s="99">
        <f>B30</f>
        <v>12.36</v>
      </c>
      <c r="C12" s="99">
        <f t="shared" ref="B12:L15" si="0">C30</f>
        <v>12.7308</v>
      </c>
      <c r="D12" s="99">
        <f t="shared" si="0"/>
        <v>13.112724</v>
      </c>
      <c r="E12" s="99">
        <f t="shared" si="0"/>
        <v>13.506105720000001</v>
      </c>
      <c r="F12" s="99">
        <f t="shared" si="0"/>
        <v>13.911288891600002</v>
      </c>
      <c r="G12" s="99">
        <f t="shared" si="0"/>
        <v>14.328627558348002</v>
      </c>
      <c r="H12" s="99">
        <f t="shared" si="0"/>
        <v>14.758486385098442</v>
      </c>
      <c r="I12" s="99">
        <f t="shared" si="0"/>
        <v>15.201240976651395</v>
      </c>
      <c r="J12" s="99">
        <f t="shared" si="0"/>
        <v>15.657278205950936</v>
      </c>
      <c r="K12" s="99">
        <f t="shared" si="0"/>
        <v>16.126996552129466</v>
      </c>
      <c r="L12" s="99">
        <f t="shared" si="0"/>
        <v>16.610806448693349</v>
      </c>
    </row>
    <row r="13" spans="1:12">
      <c r="A13" s="98" t="s">
        <v>137</v>
      </c>
      <c r="B13" s="99">
        <v>11</v>
      </c>
      <c r="C13" s="99">
        <f t="shared" si="0"/>
        <v>11.5</v>
      </c>
      <c r="D13" s="99">
        <f t="shared" si="0"/>
        <v>11.5</v>
      </c>
      <c r="E13" s="99">
        <f t="shared" si="0"/>
        <v>11.5</v>
      </c>
      <c r="F13" s="99">
        <f t="shared" si="0"/>
        <v>12</v>
      </c>
      <c r="G13" s="99">
        <f t="shared" si="0"/>
        <v>12</v>
      </c>
      <c r="H13" s="99">
        <f t="shared" si="0"/>
        <v>12</v>
      </c>
      <c r="I13" s="99">
        <f t="shared" si="0"/>
        <v>15.201240976651395</v>
      </c>
      <c r="J13" s="99">
        <f t="shared" si="0"/>
        <v>15.201240976651395</v>
      </c>
      <c r="K13" s="99">
        <f t="shared" si="0"/>
        <v>15.201240976651395</v>
      </c>
      <c r="L13" s="99">
        <f t="shared" si="0"/>
        <v>15.201240976651395</v>
      </c>
    </row>
    <row r="14" spans="1:12">
      <c r="A14" s="98" t="s">
        <v>138</v>
      </c>
      <c r="B14" s="99">
        <f t="shared" si="0"/>
        <v>0</v>
      </c>
      <c r="C14" s="99">
        <f t="shared" si="0"/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9">
        <f t="shared" si="0"/>
        <v>0</v>
      </c>
      <c r="H14" s="99">
        <f t="shared" si="0"/>
        <v>0</v>
      </c>
      <c r="I14" s="99">
        <f t="shared" si="0"/>
        <v>0</v>
      </c>
      <c r="J14" s="99">
        <f t="shared" si="0"/>
        <v>0</v>
      </c>
      <c r="K14" s="99">
        <f t="shared" si="0"/>
        <v>0</v>
      </c>
      <c r="L14" s="99">
        <f t="shared" si="0"/>
        <v>0</v>
      </c>
    </row>
    <row r="15" spans="1:12">
      <c r="A15" s="98" t="s">
        <v>139</v>
      </c>
      <c r="B15" s="99">
        <f t="shared" si="0"/>
        <v>11</v>
      </c>
      <c r="C15" s="99">
        <f t="shared" si="0"/>
        <v>11.5</v>
      </c>
      <c r="D15" s="99">
        <f t="shared" si="0"/>
        <v>11.5</v>
      </c>
      <c r="E15" s="99">
        <f t="shared" si="0"/>
        <v>11.5</v>
      </c>
      <c r="F15" s="99">
        <f t="shared" si="0"/>
        <v>12</v>
      </c>
      <c r="G15" s="99">
        <f t="shared" si="0"/>
        <v>12</v>
      </c>
      <c r="H15" s="99">
        <f t="shared" si="0"/>
        <v>12</v>
      </c>
      <c r="I15" s="99">
        <f t="shared" si="0"/>
        <v>15.201240976651395</v>
      </c>
      <c r="J15" s="99">
        <f t="shared" si="0"/>
        <v>15.201240976651395</v>
      </c>
      <c r="K15" s="99">
        <f t="shared" si="0"/>
        <v>15.201240976651395</v>
      </c>
      <c r="L15" s="99">
        <f t="shared" si="0"/>
        <v>15.201240976651395</v>
      </c>
    </row>
    <row r="16" spans="1:12">
      <c r="A16" s="98" t="s">
        <v>140</v>
      </c>
      <c r="B16" s="100">
        <f>B33*100000</f>
        <v>1100000</v>
      </c>
      <c r="C16" s="100">
        <f t="shared" ref="C16:L18" si="1">C33*100000</f>
        <v>1150000</v>
      </c>
      <c r="D16" s="100">
        <f t="shared" si="1"/>
        <v>1150000</v>
      </c>
      <c r="E16" s="100">
        <f t="shared" si="1"/>
        <v>1150000</v>
      </c>
      <c r="F16" s="100">
        <f t="shared" si="1"/>
        <v>1200000</v>
      </c>
      <c r="G16" s="100">
        <f t="shared" si="1"/>
        <v>1200000</v>
      </c>
      <c r="H16" s="100">
        <f t="shared" si="1"/>
        <v>1200000</v>
      </c>
      <c r="I16" s="100">
        <f t="shared" si="1"/>
        <v>1520124.0976651395</v>
      </c>
      <c r="J16" s="100">
        <f t="shared" si="1"/>
        <v>1520124.0976651395</v>
      </c>
      <c r="K16" s="100">
        <f t="shared" si="1"/>
        <v>1520124.0976651395</v>
      </c>
      <c r="L16" s="101">
        <f t="shared" si="1"/>
        <v>1520124.0976651395</v>
      </c>
    </row>
    <row r="17" spans="1:12">
      <c r="A17" s="98" t="s">
        <v>141</v>
      </c>
      <c r="B17" s="100">
        <f>B34*100000</f>
        <v>0</v>
      </c>
      <c r="C17" s="100">
        <f t="shared" si="1"/>
        <v>0</v>
      </c>
      <c r="D17" s="100">
        <f t="shared" si="1"/>
        <v>0</v>
      </c>
      <c r="E17" s="100">
        <f t="shared" si="1"/>
        <v>0</v>
      </c>
      <c r="F17" s="100">
        <f t="shared" si="1"/>
        <v>0</v>
      </c>
      <c r="G17" s="100">
        <f t="shared" si="1"/>
        <v>0</v>
      </c>
      <c r="H17" s="100">
        <f t="shared" si="1"/>
        <v>0</v>
      </c>
      <c r="I17" s="100">
        <f t="shared" si="1"/>
        <v>0</v>
      </c>
      <c r="J17" s="100">
        <f t="shared" si="1"/>
        <v>0</v>
      </c>
      <c r="K17" s="100">
        <f t="shared" si="1"/>
        <v>0</v>
      </c>
      <c r="L17" s="101"/>
    </row>
    <row r="18" spans="1:12">
      <c r="A18" s="98" t="s">
        <v>142</v>
      </c>
      <c r="B18" s="100">
        <f>B35*100000</f>
        <v>0</v>
      </c>
      <c r="C18" s="100">
        <f t="shared" si="1"/>
        <v>0</v>
      </c>
      <c r="D18" s="100">
        <f t="shared" si="1"/>
        <v>0</v>
      </c>
      <c r="E18" s="100">
        <f t="shared" si="1"/>
        <v>0</v>
      </c>
      <c r="F18" s="100">
        <f t="shared" si="1"/>
        <v>0</v>
      </c>
      <c r="G18" s="100">
        <f t="shared" si="1"/>
        <v>0</v>
      </c>
      <c r="H18" s="100">
        <f t="shared" si="1"/>
        <v>0</v>
      </c>
      <c r="I18" s="100">
        <f t="shared" si="1"/>
        <v>0</v>
      </c>
      <c r="J18" s="100">
        <f t="shared" si="1"/>
        <v>0</v>
      </c>
      <c r="K18" s="100">
        <f t="shared" si="1"/>
        <v>0</v>
      </c>
      <c r="L18" s="101"/>
    </row>
    <row r="19" spans="1:12">
      <c r="A19" s="98" t="s">
        <v>143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>
        <f>K36*100000</f>
        <v>16890267.751834884</v>
      </c>
      <c r="L19" s="101"/>
    </row>
    <row r="20" spans="1:12">
      <c r="A20" s="98" t="s">
        <v>144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>
        <f>K37*100000</f>
        <v>9167000</v>
      </c>
      <c r="L20" s="101"/>
    </row>
    <row r="21" spans="1:12">
      <c r="A21" s="98" t="s">
        <v>145</v>
      </c>
      <c r="B21" s="100">
        <f t="shared" ref="B21:K23" si="2">B38*100000</f>
        <v>1100000</v>
      </c>
      <c r="C21" s="100">
        <f t="shared" si="2"/>
        <v>1150000</v>
      </c>
      <c r="D21" s="100">
        <f t="shared" si="2"/>
        <v>1150000</v>
      </c>
      <c r="E21" s="100">
        <f t="shared" si="2"/>
        <v>1150000</v>
      </c>
      <c r="F21" s="100">
        <f t="shared" si="2"/>
        <v>1200000</v>
      </c>
      <c r="G21" s="100">
        <f t="shared" si="2"/>
        <v>1200000</v>
      </c>
      <c r="H21" s="100">
        <f t="shared" si="2"/>
        <v>1200000</v>
      </c>
      <c r="I21" s="100">
        <f t="shared" si="2"/>
        <v>1520124.0976651395</v>
      </c>
      <c r="J21" s="100">
        <f t="shared" si="2"/>
        <v>1520124.0976651395</v>
      </c>
      <c r="K21" s="100">
        <f>K38*100000</f>
        <v>18410391.849500023</v>
      </c>
      <c r="L21" s="101"/>
    </row>
    <row r="22" spans="1:12">
      <c r="A22" s="98" t="s">
        <v>146</v>
      </c>
      <c r="B22" s="100">
        <f t="shared" si="2"/>
        <v>-721442.90000000014</v>
      </c>
      <c r="C22" s="100">
        <f t="shared" si="2"/>
        <v>-721442.90000000014</v>
      </c>
      <c r="D22" s="100">
        <f t="shared" si="2"/>
        <v>-721442.90000000014</v>
      </c>
      <c r="E22" s="100">
        <f t="shared" si="2"/>
        <v>-721442.90000000014</v>
      </c>
      <c r="F22" s="100">
        <f t="shared" si="2"/>
        <v>-721442.90000000014</v>
      </c>
      <c r="G22" s="100">
        <f t="shared" si="2"/>
        <v>-721442.90000000014</v>
      </c>
      <c r="H22" s="100">
        <f t="shared" si="2"/>
        <v>-721442.90000000014</v>
      </c>
      <c r="I22" s="100">
        <f t="shared" si="2"/>
        <v>-721442.90000000014</v>
      </c>
      <c r="J22" s="100">
        <f t="shared" si="2"/>
        <v>-721442.90000000014</v>
      </c>
      <c r="K22" s="100">
        <f>K39*100000</f>
        <v>-9888442.9000000004</v>
      </c>
      <c r="L22" s="101"/>
    </row>
    <row r="23" spans="1:12">
      <c r="A23" s="98" t="str">
        <f>A40</f>
        <v>EBTCF</v>
      </c>
      <c r="B23" s="102">
        <f>B40*100000</f>
        <v>378557.09999999992</v>
      </c>
      <c r="C23" s="102">
        <f t="shared" si="2"/>
        <v>428557.09999999992</v>
      </c>
      <c r="D23" s="102">
        <f t="shared" si="2"/>
        <v>428557.09999999992</v>
      </c>
      <c r="E23" s="102">
        <f t="shared" si="2"/>
        <v>428557.09999999992</v>
      </c>
      <c r="F23" s="102">
        <f t="shared" si="2"/>
        <v>478557.09999999992</v>
      </c>
      <c r="G23" s="102">
        <f t="shared" si="2"/>
        <v>478557.09999999992</v>
      </c>
      <c r="H23" s="102">
        <f t="shared" si="2"/>
        <v>478557.09999999992</v>
      </c>
      <c r="I23" s="102">
        <f t="shared" si="2"/>
        <v>798681.19766513933</v>
      </c>
      <c r="J23" s="102">
        <f t="shared" si="2"/>
        <v>798681.19766513933</v>
      </c>
      <c r="K23" s="102">
        <f t="shared" si="2"/>
        <v>8521948.9495000243</v>
      </c>
      <c r="L23" s="81"/>
    </row>
    <row r="24" spans="1:12">
      <c r="A24" s="98" t="str">
        <f t="shared" ref="A24:K25" si="3">A41</f>
        <v>DCR</v>
      </c>
      <c r="B24" s="103">
        <f t="shared" si="3"/>
        <v>1.5247221921513121</v>
      </c>
      <c r="C24" s="103">
        <f t="shared" si="3"/>
        <v>1.5940277463400081</v>
      </c>
      <c r="D24" s="103">
        <f t="shared" si="3"/>
        <v>1.5940277463400081</v>
      </c>
      <c r="E24" s="103">
        <f t="shared" si="3"/>
        <v>1.5940277463400081</v>
      </c>
      <c r="F24" s="103">
        <f t="shared" si="3"/>
        <v>1.6633333005287041</v>
      </c>
      <c r="G24" s="103">
        <f t="shared" si="3"/>
        <v>1.6633333005287041</v>
      </c>
      <c r="H24" s="103">
        <f t="shared" si="3"/>
        <v>1.6633333005287041</v>
      </c>
      <c r="I24" s="103">
        <f t="shared" si="3"/>
        <v>2.107060860485479</v>
      </c>
      <c r="J24" s="103">
        <f t="shared" si="3"/>
        <v>2.107060860485479</v>
      </c>
      <c r="K24" s="103">
        <f t="shared" si="3"/>
        <v>2.107060860485479</v>
      </c>
      <c r="L24" s="81"/>
    </row>
    <row r="25" spans="1:12">
      <c r="A25" s="98" t="str">
        <f t="shared" si="3"/>
        <v>BER @ Mkt</v>
      </c>
      <c r="B25" s="103">
        <f t="shared" si="3"/>
        <v>0.58369166666666672</v>
      </c>
      <c r="C25" s="103">
        <f t="shared" si="3"/>
        <v>0.5666909385113269</v>
      </c>
      <c r="D25" s="103">
        <f t="shared" si="3"/>
        <v>0.55018537719546301</v>
      </c>
      <c r="E25" s="103">
        <f t="shared" si="3"/>
        <v>0.53416056038394466</v>
      </c>
      <c r="F25" s="103">
        <f t="shared" si="3"/>
        <v>0.51860248580965496</v>
      </c>
      <c r="G25" s="103">
        <f t="shared" si="3"/>
        <v>0.50349755903850002</v>
      </c>
      <c r="H25" s="103">
        <f t="shared" si="3"/>
        <v>0.48883258159077669</v>
      </c>
      <c r="I25" s="103">
        <f t="shared" si="3"/>
        <v>0.47459473940852104</v>
      </c>
      <c r="J25" s="103">
        <f t="shared" si="3"/>
        <v>0.46077159165875831</v>
      </c>
      <c r="K25" s="103">
        <f t="shared" si="3"/>
        <v>0.4473510598628721</v>
      </c>
      <c r="L25" s="81"/>
    </row>
    <row r="26" spans="1:12">
      <c r="C26" s="104"/>
      <c r="D26" s="104"/>
      <c r="E26" s="104"/>
      <c r="F26" s="104"/>
      <c r="G26" s="104"/>
      <c r="H26" s="104"/>
      <c r="I26" s="104"/>
      <c r="J26" s="104"/>
      <c r="K26" s="104"/>
      <c r="L26" s="87"/>
    </row>
    <row r="27" spans="1:12">
      <c r="C27" s="104"/>
      <c r="D27" s="104"/>
      <c r="E27" s="104"/>
      <c r="F27" s="104"/>
      <c r="G27" s="104"/>
      <c r="H27" s="104"/>
      <c r="I27" s="104"/>
      <c r="J27" s="104"/>
      <c r="K27" s="104"/>
      <c r="L27" s="87"/>
    </row>
    <row r="28" spans="1:12" ht="13.8" thickBot="1">
      <c r="C28" s="105"/>
    </row>
    <row r="29" spans="1:12">
      <c r="A29" s="106" t="s">
        <v>134</v>
      </c>
      <c r="B29" s="107">
        <v>1</v>
      </c>
      <c r="C29" s="107">
        <v>2</v>
      </c>
      <c r="D29" s="107">
        <v>3</v>
      </c>
      <c r="E29" s="107">
        <v>4</v>
      </c>
      <c r="F29" s="107">
        <v>5</v>
      </c>
      <c r="G29" s="107">
        <v>6</v>
      </c>
      <c r="H29" s="107">
        <v>7</v>
      </c>
      <c r="I29" s="107">
        <v>8</v>
      </c>
      <c r="J29" s="107">
        <v>9</v>
      </c>
      <c r="K29" s="108">
        <v>10</v>
      </c>
      <c r="L29" s="109" t="s">
        <v>135</v>
      </c>
    </row>
    <row r="30" spans="1:12">
      <c r="A30" s="110" t="s">
        <v>147</v>
      </c>
      <c r="B30" s="111">
        <f>(1+$B$5)*$B$4</f>
        <v>12.36</v>
      </c>
      <c r="C30" s="111">
        <f>(1+$B$5)*B30</f>
        <v>12.7308</v>
      </c>
      <c r="D30" s="111">
        <f t="shared" ref="D30:L30" si="4">(1+$B$5)*C30</f>
        <v>13.112724</v>
      </c>
      <c r="E30" s="111">
        <f t="shared" si="4"/>
        <v>13.506105720000001</v>
      </c>
      <c r="F30" s="111">
        <f t="shared" si="4"/>
        <v>13.911288891600002</v>
      </c>
      <c r="G30" s="111">
        <f t="shared" si="4"/>
        <v>14.328627558348002</v>
      </c>
      <c r="H30" s="111">
        <f t="shared" si="4"/>
        <v>14.758486385098442</v>
      </c>
      <c r="I30" s="111">
        <f t="shared" si="4"/>
        <v>15.201240976651395</v>
      </c>
      <c r="J30" s="111">
        <f t="shared" si="4"/>
        <v>15.657278205950936</v>
      </c>
      <c r="K30" s="112">
        <f t="shared" si="4"/>
        <v>16.126996552129466</v>
      </c>
      <c r="L30" s="111">
        <f t="shared" si="4"/>
        <v>16.610806448693349</v>
      </c>
    </row>
    <row r="31" spans="1:12">
      <c r="A31" s="110" t="s">
        <v>148</v>
      </c>
      <c r="B31" s="111">
        <f>B13</f>
        <v>11</v>
      </c>
      <c r="C31" s="111">
        <f>B31+0.5</f>
        <v>11.5</v>
      </c>
      <c r="D31" s="111">
        <f>C31</f>
        <v>11.5</v>
      </c>
      <c r="E31" s="111">
        <f>D31</f>
        <v>11.5</v>
      </c>
      <c r="F31" s="111">
        <f>E31+0.5</f>
        <v>12</v>
      </c>
      <c r="G31" s="111">
        <f>F31</f>
        <v>12</v>
      </c>
      <c r="H31" s="111">
        <f>G31</f>
        <v>12</v>
      </c>
      <c r="I31" s="111">
        <f>I30</f>
        <v>15.201240976651395</v>
      </c>
      <c r="J31" s="111">
        <f>I31</f>
        <v>15.201240976651395</v>
      </c>
      <c r="K31" s="112">
        <f>J31</f>
        <v>15.201240976651395</v>
      </c>
      <c r="L31" s="111">
        <f>K31</f>
        <v>15.201240976651395</v>
      </c>
    </row>
    <row r="32" spans="1:12">
      <c r="A32" s="110" t="s">
        <v>138</v>
      </c>
      <c r="B32" s="111">
        <v>0</v>
      </c>
      <c r="C32" s="111"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f>($B$7/12)*$C$7*I31</f>
        <v>0</v>
      </c>
      <c r="J32" s="111">
        <v>0</v>
      </c>
      <c r="K32" s="112">
        <v>0</v>
      </c>
      <c r="L32" s="111">
        <v>0</v>
      </c>
    </row>
    <row r="33" spans="1:12">
      <c r="A33" s="110" t="s">
        <v>140</v>
      </c>
      <c r="B33" s="111">
        <f>B31-B32</f>
        <v>11</v>
      </c>
      <c r="C33" s="111">
        <f t="shared" ref="C33:L33" si="5">C31-C32</f>
        <v>11.5</v>
      </c>
      <c r="D33" s="111">
        <f t="shared" si="5"/>
        <v>11.5</v>
      </c>
      <c r="E33" s="111">
        <f t="shared" si="5"/>
        <v>11.5</v>
      </c>
      <c r="F33" s="111">
        <f t="shared" si="5"/>
        <v>12</v>
      </c>
      <c r="G33" s="111">
        <f t="shared" si="5"/>
        <v>12</v>
      </c>
      <c r="H33" s="111">
        <f t="shared" si="5"/>
        <v>12</v>
      </c>
      <c r="I33" s="111">
        <f t="shared" si="5"/>
        <v>15.201240976651395</v>
      </c>
      <c r="J33" s="111">
        <f t="shared" si="5"/>
        <v>15.201240976651395</v>
      </c>
      <c r="K33" s="112">
        <f t="shared" si="5"/>
        <v>15.201240976651395</v>
      </c>
      <c r="L33" s="111">
        <f t="shared" si="5"/>
        <v>15.201240976651395</v>
      </c>
    </row>
    <row r="34" spans="1:12">
      <c r="A34" s="110" t="s">
        <v>141</v>
      </c>
      <c r="B34" s="111"/>
      <c r="C34" s="111"/>
      <c r="D34" s="111"/>
      <c r="E34" s="111"/>
      <c r="F34" s="111"/>
      <c r="G34" s="111"/>
      <c r="H34" s="111"/>
      <c r="I34" s="111">
        <f>-($C7*C9+(1-$C7)*B9)</f>
        <v>0</v>
      </c>
      <c r="J34" s="111"/>
      <c r="K34" s="112"/>
      <c r="L34" s="113"/>
    </row>
    <row r="35" spans="1:12">
      <c r="A35" s="110" t="s">
        <v>142</v>
      </c>
      <c r="B35" s="111"/>
      <c r="C35" s="111"/>
      <c r="D35" s="111"/>
      <c r="E35" s="111"/>
      <c r="F35" s="111"/>
      <c r="G35" s="111"/>
      <c r="H35" s="111"/>
      <c r="I35" s="111">
        <f>-($C7*C10+(1-$C7)*B10)</f>
        <v>0</v>
      </c>
      <c r="J35" s="111"/>
      <c r="K35" s="112"/>
      <c r="L35" s="113"/>
    </row>
    <row r="36" spans="1:12">
      <c r="A36" s="110" t="s">
        <v>149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2">
        <f>L33/B6</f>
        <v>168.90267751834884</v>
      </c>
      <c r="L36" s="113"/>
    </row>
    <row r="37" spans="1:12">
      <c r="A37" s="110" t="s">
        <v>144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2">
        <f>PV(D6/12,(D5-10)*12,B39/12)</f>
        <v>91.67</v>
      </c>
      <c r="L37" s="113"/>
    </row>
    <row r="38" spans="1:12">
      <c r="A38" s="110" t="s">
        <v>145</v>
      </c>
      <c r="B38" s="111">
        <f>B33+B34+B35+B36</f>
        <v>11</v>
      </c>
      <c r="C38" s="111">
        <f t="shared" ref="C38:K38" si="6">C33+C34+C35+C36</f>
        <v>11.5</v>
      </c>
      <c r="D38" s="111">
        <f t="shared" si="6"/>
        <v>11.5</v>
      </c>
      <c r="E38" s="111">
        <f t="shared" si="6"/>
        <v>11.5</v>
      </c>
      <c r="F38" s="111">
        <f t="shared" si="6"/>
        <v>12</v>
      </c>
      <c r="G38" s="111">
        <f t="shared" si="6"/>
        <v>12</v>
      </c>
      <c r="H38" s="111">
        <f t="shared" si="6"/>
        <v>12</v>
      </c>
      <c r="I38" s="111">
        <f t="shared" si="6"/>
        <v>15.201240976651395</v>
      </c>
      <c r="J38" s="111">
        <f t="shared" si="6"/>
        <v>15.201240976651395</v>
      </c>
      <c r="K38" s="112">
        <f t="shared" si="6"/>
        <v>184.10391849500024</v>
      </c>
      <c r="L38" s="113"/>
    </row>
    <row r="39" spans="1:12">
      <c r="A39" s="110" t="s">
        <v>146</v>
      </c>
      <c r="B39" s="111">
        <f>PMT(D6/12,D5*12,D4)*12</f>
        <v>-7.2144290000000009</v>
      </c>
      <c r="C39" s="111">
        <f t="shared" ref="C39:J39" si="7">B39</f>
        <v>-7.2144290000000009</v>
      </c>
      <c r="D39" s="111">
        <f t="shared" si="7"/>
        <v>-7.2144290000000009</v>
      </c>
      <c r="E39" s="111">
        <f t="shared" si="7"/>
        <v>-7.2144290000000009</v>
      </c>
      <c r="F39" s="111">
        <f t="shared" si="7"/>
        <v>-7.2144290000000009</v>
      </c>
      <c r="G39" s="111">
        <f t="shared" si="7"/>
        <v>-7.2144290000000009</v>
      </c>
      <c r="H39" s="111">
        <f t="shared" si="7"/>
        <v>-7.2144290000000009</v>
      </c>
      <c r="I39" s="111">
        <f t="shared" si="7"/>
        <v>-7.2144290000000009</v>
      </c>
      <c r="J39" s="111">
        <f t="shared" si="7"/>
        <v>-7.2144290000000009</v>
      </c>
      <c r="K39" s="112">
        <f>J39-PV(D6/12,(D5-10)*12,B39/12)</f>
        <v>-98.884428999999997</v>
      </c>
      <c r="L39" s="113"/>
    </row>
    <row r="40" spans="1:12" ht="13.8" thickBot="1">
      <c r="A40" s="114" t="s">
        <v>150</v>
      </c>
      <c r="B40" s="115">
        <f t="shared" ref="B40:K40" si="8">B38+B39</f>
        <v>3.7855709999999991</v>
      </c>
      <c r="C40" s="115">
        <f t="shared" si="8"/>
        <v>4.2855709999999991</v>
      </c>
      <c r="D40" s="115">
        <f t="shared" si="8"/>
        <v>4.2855709999999991</v>
      </c>
      <c r="E40" s="115">
        <f t="shared" si="8"/>
        <v>4.2855709999999991</v>
      </c>
      <c r="F40" s="115">
        <f t="shared" si="8"/>
        <v>4.7855709999999991</v>
      </c>
      <c r="G40" s="115">
        <f t="shared" si="8"/>
        <v>4.7855709999999991</v>
      </c>
      <c r="H40" s="115">
        <f t="shared" si="8"/>
        <v>4.7855709999999991</v>
      </c>
      <c r="I40" s="115">
        <f t="shared" si="8"/>
        <v>7.9868119766513939</v>
      </c>
      <c r="J40" s="115">
        <f t="shared" si="8"/>
        <v>7.9868119766513939</v>
      </c>
      <c r="K40" s="116">
        <f t="shared" si="8"/>
        <v>85.219489495000246</v>
      </c>
    </row>
    <row r="41" spans="1:12">
      <c r="A41" s="110" t="s">
        <v>151</v>
      </c>
      <c r="B41" s="117">
        <f t="shared" ref="B41:J41" si="9">-B33/B39</f>
        <v>1.5247221921513121</v>
      </c>
      <c r="C41" s="117">
        <f t="shared" si="9"/>
        <v>1.5940277463400081</v>
      </c>
      <c r="D41" s="117">
        <f t="shared" si="9"/>
        <v>1.5940277463400081</v>
      </c>
      <c r="E41" s="117">
        <f t="shared" si="9"/>
        <v>1.5940277463400081</v>
      </c>
      <c r="F41" s="117">
        <f t="shared" si="9"/>
        <v>1.6633333005287041</v>
      </c>
      <c r="G41" s="117">
        <f t="shared" si="9"/>
        <v>1.6633333005287041</v>
      </c>
      <c r="H41" s="117">
        <f t="shared" si="9"/>
        <v>1.6633333005287041</v>
      </c>
      <c r="I41" s="117">
        <f t="shared" si="9"/>
        <v>2.107060860485479</v>
      </c>
      <c r="J41" s="117">
        <f t="shared" si="9"/>
        <v>2.107060860485479</v>
      </c>
      <c r="K41" s="118">
        <f>-SUM(K33:K35)/B39</f>
        <v>2.107060860485479</v>
      </c>
    </row>
    <row r="42" spans="1:12">
      <c r="A42" s="110" t="s">
        <v>152</v>
      </c>
      <c r="B42" s="117">
        <f t="shared" ref="B42:J42" si="10">-B39/B30</f>
        <v>0.58369166666666672</v>
      </c>
      <c r="C42" s="117">
        <f t="shared" si="10"/>
        <v>0.5666909385113269</v>
      </c>
      <c r="D42" s="117">
        <f t="shared" si="10"/>
        <v>0.55018537719546301</v>
      </c>
      <c r="E42" s="117">
        <f t="shared" si="10"/>
        <v>0.53416056038394466</v>
      </c>
      <c r="F42" s="117">
        <f t="shared" si="10"/>
        <v>0.51860248580965496</v>
      </c>
      <c r="G42" s="117">
        <f t="shared" si="10"/>
        <v>0.50349755903850002</v>
      </c>
      <c r="H42" s="117">
        <f t="shared" si="10"/>
        <v>0.48883258159077669</v>
      </c>
      <c r="I42" s="117">
        <f t="shared" si="10"/>
        <v>0.47459473940852104</v>
      </c>
      <c r="J42" s="117">
        <f t="shared" si="10"/>
        <v>0.46077159165875831</v>
      </c>
      <c r="K42" s="119">
        <f>-B39/K30</f>
        <v>0.4473510598628721</v>
      </c>
    </row>
    <row r="44" spans="1:12">
      <c r="A44" s="113">
        <f>-(F4-D4)</f>
        <v>-30.552222222222227</v>
      </c>
      <c r="B44" s="113">
        <f>B40</f>
        <v>3.7855709999999991</v>
      </c>
      <c r="C44" s="113">
        <f t="shared" ref="C44:K44" si="11">C40</f>
        <v>4.2855709999999991</v>
      </c>
      <c r="D44" s="113">
        <f t="shared" si="11"/>
        <v>4.2855709999999991</v>
      </c>
      <c r="E44" s="113">
        <f t="shared" si="11"/>
        <v>4.2855709999999991</v>
      </c>
      <c r="F44" s="113">
        <f t="shared" si="11"/>
        <v>4.7855709999999991</v>
      </c>
      <c r="G44" s="113">
        <f t="shared" si="11"/>
        <v>4.7855709999999991</v>
      </c>
      <c r="H44" s="113">
        <f t="shared" si="11"/>
        <v>4.7855709999999991</v>
      </c>
      <c r="I44" s="113">
        <f t="shared" si="11"/>
        <v>7.9868119766513939</v>
      </c>
      <c r="J44" s="113">
        <f t="shared" si="11"/>
        <v>7.9868119766513939</v>
      </c>
      <c r="K44" s="113">
        <f t="shared" si="11"/>
        <v>85.219489495000246</v>
      </c>
    </row>
  </sheetData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L44"/>
  <sheetViews>
    <sheetView workbookViewId="0"/>
  </sheetViews>
  <sheetFormatPr defaultColWidth="9.109375" defaultRowHeight="13.2"/>
  <cols>
    <col min="1" max="1" width="14.88671875" style="78" customWidth="1"/>
    <col min="2" max="6" width="8.6640625" style="78" customWidth="1"/>
    <col min="7" max="7" width="10.33203125" style="78" customWidth="1"/>
    <col min="8" max="8" width="8.6640625" style="78" customWidth="1"/>
    <col min="9" max="9" width="9.5546875" style="78" customWidth="1"/>
    <col min="10" max="10" width="8.6640625" style="78" customWidth="1"/>
    <col min="11" max="11" width="10" style="78" customWidth="1"/>
    <col min="12" max="12" width="9.44140625" style="78" customWidth="1"/>
    <col min="13" max="256" width="9.109375" style="78"/>
    <col min="257" max="257" width="14.88671875" style="78" customWidth="1"/>
    <col min="258" max="262" width="8.6640625" style="78" customWidth="1"/>
    <col min="263" max="263" width="10.33203125" style="78" customWidth="1"/>
    <col min="264" max="264" width="8.6640625" style="78" customWidth="1"/>
    <col min="265" max="265" width="9.5546875" style="78" customWidth="1"/>
    <col min="266" max="266" width="8.6640625" style="78" customWidth="1"/>
    <col min="267" max="267" width="10" style="78" customWidth="1"/>
    <col min="268" max="268" width="9.44140625" style="78" customWidth="1"/>
    <col min="269" max="512" width="9.109375" style="78"/>
    <col min="513" max="513" width="14.88671875" style="78" customWidth="1"/>
    <col min="514" max="518" width="8.6640625" style="78" customWidth="1"/>
    <col min="519" max="519" width="10.33203125" style="78" customWidth="1"/>
    <col min="520" max="520" width="8.6640625" style="78" customWidth="1"/>
    <col min="521" max="521" width="9.5546875" style="78" customWidth="1"/>
    <col min="522" max="522" width="8.6640625" style="78" customWidth="1"/>
    <col min="523" max="523" width="10" style="78" customWidth="1"/>
    <col min="524" max="524" width="9.44140625" style="78" customWidth="1"/>
    <col min="525" max="768" width="9.109375" style="78"/>
    <col min="769" max="769" width="14.88671875" style="78" customWidth="1"/>
    <col min="770" max="774" width="8.6640625" style="78" customWidth="1"/>
    <col min="775" max="775" width="10.33203125" style="78" customWidth="1"/>
    <col min="776" max="776" width="8.6640625" style="78" customWidth="1"/>
    <col min="777" max="777" width="9.5546875" style="78" customWidth="1"/>
    <col min="778" max="778" width="8.6640625" style="78" customWidth="1"/>
    <col min="779" max="779" width="10" style="78" customWidth="1"/>
    <col min="780" max="780" width="9.44140625" style="78" customWidth="1"/>
    <col min="781" max="1024" width="9.109375" style="78"/>
    <col min="1025" max="1025" width="14.88671875" style="78" customWidth="1"/>
    <col min="1026" max="1030" width="8.6640625" style="78" customWidth="1"/>
    <col min="1031" max="1031" width="10.33203125" style="78" customWidth="1"/>
    <col min="1032" max="1032" width="8.6640625" style="78" customWidth="1"/>
    <col min="1033" max="1033" width="9.5546875" style="78" customWidth="1"/>
    <col min="1034" max="1034" width="8.6640625" style="78" customWidth="1"/>
    <col min="1035" max="1035" width="10" style="78" customWidth="1"/>
    <col min="1036" max="1036" width="9.44140625" style="78" customWidth="1"/>
    <col min="1037" max="1280" width="9.109375" style="78"/>
    <col min="1281" max="1281" width="14.88671875" style="78" customWidth="1"/>
    <col min="1282" max="1286" width="8.6640625" style="78" customWidth="1"/>
    <col min="1287" max="1287" width="10.33203125" style="78" customWidth="1"/>
    <col min="1288" max="1288" width="8.6640625" style="78" customWidth="1"/>
    <col min="1289" max="1289" width="9.5546875" style="78" customWidth="1"/>
    <col min="1290" max="1290" width="8.6640625" style="78" customWidth="1"/>
    <col min="1291" max="1291" width="10" style="78" customWidth="1"/>
    <col min="1292" max="1292" width="9.44140625" style="78" customWidth="1"/>
    <col min="1293" max="1536" width="9.109375" style="78"/>
    <col min="1537" max="1537" width="14.88671875" style="78" customWidth="1"/>
    <col min="1538" max="1542" width="8.6640625" style="78" customWidth="1"/>
    <col min="1543" max="1543" width="10.33203125" style="78" customWidth="1"/>
    <col min="1544" max="1544" width="8.6640625" style="78" customWidth="1"/>
    <col min="1545" max="1545" width="9.5546875" style="78" customWidth="1"/>
    <col min="1546" max="1546" width="8.6640625" style="78" customWidth="1"/>
    <col min="1547" max="1547" width="10" style="78" customWidth="1"/>
    <col min="1548" max="1548" width="9.44140625" style="78" customWidth="1"/>
    <col min="1549" max="1792" width="9.109375" style="78"/>
    <col min="1793" max="1793" width="14.88671875" style="78" customWidth="1"/>
    <col min="1794" max="1798" width="8.6640625" style="78" customWidth="1"/>
    <col min="1799" max="1799" width="10.33203125" style="78" customWidth="1"/>
    <col min="1800" max="1800" width="8.6640625" style="78" customWidth="1"/>
    <col min="1801" max="1801" width="9.5546875" style="78" customWidth="1"/>
    <col min="1802" max="1802" width="8.6640625" style="78" customWidth="1"/>
    <col min="1803" max="1803" width="10" style="78" customWidth="1"/>
    <col min="1804" max="1804" width="9.44140625" style="78" customWidth="1"/>
    <col min="1805" max="2048" width="9.109375" style="78"/>
    <col min="2049" max="2049" width="14.88671875" style="78" customWidth="1"/>
    <col min="2050" max="2054" width="8.6640625" style="78" customWidth="1"/>
    <col min="2055" max="2055" width="10.33203125" style="78" customWidth="1"/>
    <col min="2056" max="2056" width="8.6640625" style="78" customWidth="1"/>
    <col min="2057" max="2057" width="9.5546875" style="78" customWidth="1"/>
    <col min="2058" max="2058" width="8.6640625" style="78" customWidth="1"/>
    <col min="2059" max="2059" width="10" style="78" customWidth="1"/>
    <col min="2060" max="2060" width="9.44140625" style="78" customWidth="1"/>
    <col min="2061" max="2304" width="9.109375" style="78"/>
    <col min="2305" max="2305" width="14.88671875" style="78" customWidth="1"/>
    <col min="2306" max="2310" width="8.6640625" style="78" customWidth="1"/>
    <col min="2311" max="2311" width="10.33203125" style="78" customWidth="1"/>
    <col min="2312" max="2312" width="8.6640625" style="78" customWidth="1"/>
    <col min="2313" max="2313" width="9.5546875" style="78" customWidth="1"/>
    <col min="2314" max="2314" width="8.6640625" style="78" customWidth="1"/>
    <col min="2315" max="2315" width="10" style="78" customWidth="1"/>
    <col min="2316" max="2316" width="9.44140625" style="78" customWidth="1"/>
    <col min="2317" max="2560" width="9.109375" style="78"/>
    <col min="2561" max="2561" width="14.88671875" style="78" customWidth="1"/>
    <col min="2562" max="2566" width="8.6640625" style="78" customWidth="1"/>
    <col min="2567" max="2567" width="10.33203125" style="78" customWidth="1"/>
    <col min="2568" max="2568" width="8.6640625" style="78" customWidth="1"/>
    <col min="2569" max="2569" width="9.5546875" style="78" customWidth="1"/>
    <col min="2570" max="2570" width="8.6640625" style="78" customWidth="1"/>
    <col min="2571" max="2571" width="10" style="78" customWidth="1"/>
    <col min="2572" max="2572" width="9.44140625" style="78" customWidth="1"/>
    <col min="2573" max="2816" width="9.109375" style="78"/>
    <col min="2817" max="2817" width="14.88671875" style="78" customWidth="1"/>
    <col min="2818" max="2822" width="8.6640625" style="78" customWidth="1"/>
    <col min="2823" max="2823" width="10.33203125" style="78" customWidth="1"/>
    <col min="2824" max="2824" width="8.6640625" style="78" customWidth="1"/>
    <col min="2825" max="2825" width="9.5546875" style="78" customWidth="1"/>
    <col min="2826" max="2826" width="8.6640625" style="78" customWidth="1"/>
    <col min="2827" max="2827" width="10" style="78" customWidth="1"/>
    <col min="2828" max="2828" width="9.44140625" style="78" customWidth="1"/>
    <col min="2829" max="3072" width="9.109375" style="78"/>
    <col min="3073" max="3073" width="14.88671875" style="78" customWidth="1"/>
    <col min="3074" max="3078" width="8.6640625" style="78" customWidth="1"/>
    <col min="3079" max="3079" width="10.33203125" style="78" customWidth="1"/>
    <col min="3080" max="3080" width="8.6640625" style="78" customWidth="1"/>
    <col min="3081" max="3081" width="9.5546875" style="78" customWidth="1"/>
    <col min="3082" max="3082" width="8.6640625" style="78" customWidth="1"/>
    <col min="3083" max="3083" width="10" style="78" customWidth="1"/>
    <col min="3084" max="3084" width="9.44140625" style="78" customWidth="1"/>
    <col min="3085" max="3328" width="9.109375" style="78"/>
    <col min="3329" max="3329" width="14.88671875" style="78" customWidth="1"/>
    <col min="3330" max="3334" width="8.6640625" style="78" customWidth="1"/>
    <col min="3335" max="3335" width="10.33203125" style="78" customWidth="1"/>
    <col min="3336" max="3336" width="8.6640625" style="78" customWidth="1"/>
    <col min="3337" max="3337" width="9.5546875" style="78" customWidth="1"/>
    <col min="3338" max="3338" width="8.6640625" style="78" customWidth="1"/>
    <col min="3339" max="3339" width="10" style="78" customWidth="1"/>
    <col min="3340" max="3340" width="9.44140625" style="78" customWidth="1"/>
    <col min="3341" max="3584" width="9.109375" style="78"/>
    <col min="3585" max="3585" width="14.88671875" style="78" customWidth="1"/>
    <col min="3586" max="3590" width="8.6640625" style="78" customWidth="1"/>
    <col min="3591" max="3591" width="10.33203125" style="78" customWidth="1"/>
    <col min="3592" max="3592" width="8.6640625" style="78" customWidth="1"/>
    <col min="3593" max="3593" width="9.5546875" style="78" customWidth="1"/>
    <col min="3594" max="3594" width="8.6640625" style="78" customWidth="1"/>
    <col min="3595" max="3595" width="10" style="78" customWidth="1"/>
    <col min="3596" max="3596" width="9.44140625" style="78" customWidth="1"/>
    <col min="3597" max="3840" width="9.109375" style="78"/>
    <col min="3841" max="3841" width="14.88671875" style="78" customWidth="1"/>
    <col min="3842" max="3846" width="8.6640625" style="78" customWidth="1"/>
    <col min="3847" max="3847" width="10.33203125" style="78" customWidth="1"/>
    <col min="3848" max="3848" width="8.6640625" style="78" customWidth="1"/>
    <col min="3849" max="3849" width="9.5546875" style="78" customWidth="1"/>
    <col min="3850" max="3850" width="8.6640625" style="78" customWidth="1"/>
    <col min="3851" max="3851" width="10" style="78" customWidth="1"/>
    <col min="3852" max="3852" width="9.44140625" style="78" customWidth="1"/>
    <col min="3853" max="4096" width="9.109375" style="78"/>
    <col min="4097" max="4097" width="14.88671875" style="78" customWidth="1"/>
    <col min="4098" max="4102" width="8.6640625" style="78" customWidth="1"/>
    <col min="4103" max="4103" width="10.33203125" style="78" customWidth="1"/>
    <col min="4104" max="4104" width="8.6640625" style="78" customWidth="1"/>
    <col min="4105" max="4105" width="9.5546875" style="78" customWidth="1"/>
    <col min="4106" max="4106" width="8.6640625" style="78" customWidth="1"/>
    <col min="4107" max="4107" width="10" style="78" customWidth="1"/>
    <col min="4108" max="4108" width="9.44140625" style="78" customWidth="1"/>
    <col min="4109" max="4352" width="9.109375" style="78"/>
    <col min="4353" max="4353" width="14.88671875" style="78" customWidth="1"/>
    <col min="4354" max="4358" width="8.6640625" style="78" customWidth="1"/>
    <col min="4359" max="4359" width="10.33203125" style="78" customWidth="1"/>
    <col min="4360" max="4360" width="8.6640625" style="78" customWidth="1"/>
    <col min="4361" max="4361" width="9.5546875" style="78" customWidth="1"/>
    <col min="4362" max="4362" width="8.6640625" style="78" customWidth="1"/>
    <col min="4363" max="4363" width="10" style="78" customWidth="1"/>
    <col min="4364" max="4364" width="9.44140625" style="78" customWidth="1"/>
    <col min="4365" max="4608" width="9.109375" style="78"/>
    <col min="4609" max="4609" width="14.88671875" style="78" customWidth="1"/>
    <col min="4610" max="4614" width="8.6640625" style="78" customWidth="1"/>
    <col min="4615" max="4615" width="10.33203125" style="78" customWidth="1"/>
    <col min="4616" max="4616" width="8.6640625" style="78" customWidth="1"/>
    <col min="4617" max="4617" width="9.5546875" style="78" customWidth="1"/>
    <col min="4618" max="4618" width="8.6640625" style="78" customWidth="1"/>
    <col min="4619" max="4619" width="10" style="78" customWidth="1"/>
    <col min="4620" max="4620" width="9.44140625" style="78" customWidth="1"/>
    <col min="4621" max="4864" width="9.109375" style="78"/>
    <col min="4865" max="4865" width="14.88671875" style="78" customWidth="1"/>
    <col min="4866" max="4870" width="8.6640625" style="78" customWidth="1"/>
    <col min="4871" max="4871" width="10.33203125" style="78" customWidth="1"/>
    <col min="4872" max="4872" width="8.6640625" style="78" customWidth="1"/>
    <col min="4873" max="4873" width="9.5546875" style="78" customWidth="1"/>
    <col min="4874" max="4874" width="8.6640625" style="78" customWidth="1"/>
    <col min="4875" max="4875" width="10" style="78" customWidth="1"/>
    <col min="4876" max="4876" width="9.44140625" style="78" customWidth="1"/>
    <col min="4877" max="5120" width="9.109375" style="78"/>
    <col min="5121" max="5121" width="14.88671875" style="78" customWidth="1"/>
    <col min="5122" max="5126" width="8.6640625" style="78" customWidth="1"/>
    <col min="5127" max="5127" width="10.33203125" style="78" customWidth="1"/>
    <col min="5128" max="5128" width="8.6640625" style="78" customWidth="1"/>
    <col min="5129" max="5129" width="9.5546875" style="78" customWidth="1"/>
    <col min="5130" max="5130" width="8.6640625" style="78" customWidth="1"/>
    <col min="5131" max="5131" width="10" style="78" customWidth="1"/>
    <col min="5132" max="5132" width="9.44140625" style="78" customWidth="1"/>
    <col min="5133" max="5376" width="9.109375" style="78"/>
    <col min="5377" max="5377" width="14.88671875" style="78" customWidth="1"/>
    <col min="5378" max="5382" width="8.6640625" style="78" customWidth="1"/>
    <col min="5383" max="5383" width="10.33203125" style="78" customWidth="1"/>
    <col min="5384" max="5384" width="8.6640625" style="78" customWidth="1"/>
    <col min="5385" max="5385" width="9.5546875" style="78" customWidth="1"/>
    <col min="5386" max="5386" width="8.6640625" style="78" customWidth="1"/>
    <col min="5387" max="5387" width="10" style="78" customWidth="1"/>
    <col min="5388" max="5388" width="9.44140625" style="78" customWidth="1"/>
    <col min="5389" max="5632" width="9.109375" style="78"/>
    <col min="5633" max="5633" width="14.88671875" style="78" customWidth="1"/>
    <col min="5634" max="5638" width="8.6640625" style="78" customWidth="1"/>
    <col min="5639" max="5639" width="10.33203125" style="78" customWidth="1"/>
    <col min="5640" max="5640" width="8.6640625" style="78" customWidth="1"/>
    <col min="5641" max="5641" width="9.5546875" style="78" customWidth="1"/>
    <col min="5642" max="5642" width="8.6640625" style="78" customWidth="1"/>
    <col min="5643" max="5643" width="10" style="78" customWidth="1"/>
    <col min="5644" max="5644" width="9.44140625" style="78" customWidth="1"/>
    <col min="5645" max="5888" width="9.109375" style="78"/>
    <col min="5889" max="5889" width="14.88671875" style="78" customWidth="1"/>
    <col min="5890" max="5894" width="8.6640625" style="78" customWidth="1"/>
    <col min="5895" max="5895" width="10.33203125" style="78" customWidth="1"/>
    <col min="5896" max="5896" width="8.6640625" style="78" customWidth="1"/>
    <col min="5897" max="5897" width="9.5546875" style="78" customWidth="1"/>
    <col min="5898" max="5898" width="8.6640625" style="78" customWidth="1"/>
    <col min="5899" max="5899" width="10" style="78" customWidth="1"/>
    <col min="5900" max="5900" width="9.44140625" style="78" customWidth="1"/>
    <col min="5901" max="6144" width="9.109375" style="78"/>
    <col min="6145" max="6145" width="14.88671875" style="78" customWidth="1"/>
    <col min="6146" max="6150" width="8.6640625" style="78" customWidth="1"/>
    <col min="6151" max="6151" width="10.33203125" style="78" customWidth="1"/>
    <col min="6152" max="6152" width="8.6640625" style="78" customWidth="1"/>
    <col min="6153" max="6153" width="9.5546875" style="78" customWidth="1"/>
    <col min="6154" max="6154" width="8.6640625" style="78" customWidth="1"/>
    <col min="6155" max="6155" width="10" style="78" customWidth="1"/>
    <col min="6156" max="6156" width="9.44140625" style="78" customWidth="1"/>
    <col min="6157" max="6400" width="9.109375" style="78"/>
    <col min="6401" max="6401" width="14.88671875" style="78" customWidth="1"/>
    <col min="6402" max="6406" width="8.6640625" style="78" customWidth="1"/>
    <col min="6407" max="6407" width="10.33203125" style="78" customWidth="1"/>
    <col min="6408" max="6408" width="8.6640625" style="78" customWidth="1"/>
    <col min="6409" max="6409" width="9.5546875" style="78" customWidth="1"/>
    <col min="6410" max="6410" width="8.6640625" style="78" customWidth="1"/>
    <col min="6411" max="6411" width="10" style="78" customWidth="1"/>
    <col min="6412" max="6412" width="9.44140625" style="78" customWidth="1"/>
    <col min="6413" max="6656" width="9.109375" style="78"/>
    <col min="6657" max="6657" width="14.88671875" style="78" customWidth="1"/>
    <col min="6658" max="6662" width="8.6640625" style="78" customWidth="1"/>
    <col min="6663" max="6663" width="10.33203125" style="78" customWidth="1"/>
    <col min="6664" max="6664" width="8.6640625" style="78" customWidth="1"/>
    <col min="6665" max="6665" width="9.5546875" style="78" customWidth="1"/>
    <col min="6666" max="6666" width="8.6640625" style="78" customWidth="1"/>
    <col min="6667" max="6667" width="10" style="78" customWidth="1"/>
    <col min="6668" max="6668" width="9.44140625" style="78" customWidth="1"/>
    <col min="6669" max="6912" width="9.109375" style="78"/>
    <col min="6913" max="6913" width="14.88671875" style="78" customWidth="1"/>
    <col min="6914" max="6918" width="8.6640625" style="78" customWidth="1"/>
    <col min="6919" max="6919" width="10.33203125" style="78" customWidth="1"/>
    <col min="6920" max="6920" width="8.6640625" style="78" customWidth="1"/>
    <col min="6921" max="6921" width="9.5546875" style="78" customWidth="1"/>
    <col min="6922" max="6922" width="8.6640625" style="78" customWidth="1"/>
    <col min="6923" max="6923" width="10" style="78" customWidth="1"/>
    <col min="6924" max="6924" width="9.44140625" style="78" customWidth="1"/>
    <col min="6925" max="7168" width="9.109375" style="78"/>
    <col min="7169" max="7169" width="14.88671875" style="78" customWidth="1"/>
    <col min="7170" max="7174" width="8.6640625" style="78" customWidth="1"/>
    <col min="7175" max="7175" width="10.33203125" style="78" customWidth="1"/>
    <col min="7176" max="7176" width="8.6640625" style="78" customWidth="1"/>
    <col min="7177" max="7177" width="9.5546875" style="78" customWidth="1"/>
    <col min="7178" max="7178" width="8.6640625" style="78" customWidth="1"/>
    <col min="7179" max="7179" width="10" style="78" customWidth="1"/>
    <col min="7180" max="7180" width="9.44140625" style="78" customWidth="1"/>
    <col min="7181" max="7424" width="9.109375" style="78"/>
    <col min="7425" max="7425" width="14.88671875" style="78" customWidth="1"/>
    <col min="7426" max="7430" width="8.6640625" style="78" customWidth="1"/>
    <col min="7431" max="7431" width="10.33203125" style="78" customWidth="1"/>
    <col min="7432" max="7432" width="8.6640625" style="78" customWidth="1"/>
    <col min="7433" max="7433" width="9.5546875" style="78" customWidth="1"/>
    <col min="7434" max="7434" width="8.6640625" style="78" customWidth="1"/>
    <col min="7435" max="7435" width="10" style="78" customWidth="1"/>
    <col min="7436" max="7436" width="9.44140625" style="78" customWidth="1"/>
    <col min="7437" max="7680" width="9.109375" style="78"/>
    <col min="7681" max="7681" width="14.88671875" style="78" customWidth="1"/>
    <col min="7682" max="7686" width="8.6640625" style="78" customWidth="1"/>
    <col min="7687" max="7687" width="10.33203125" style="78" customWidth="1"/>
    <col min="7688" max="7688" width="8.6640625" style="78" customWidth="1"/>
    <col min="7689" max="7689" width="9.5546875" style="78" customWidth="1"/>
    <col min="7690" max="7690" width="8.6640625" style="78" customWidth="1"/>
    <col min="7691" max="7691" width="10" style="78" customWidth="1"/>
    <col min="7692" max="7692" width="9.44140625" style="78" customWidth="1"/>
    <col min="7693" max="7936" width="9.109375" style="78"/>
    <col min="7937" max="7937" width="14.88671875" style="78" customWidth="1"/>
    <col min="7938" max="7942" width="8.6640625" style="78" customWidth="1"/>
    <col min="7943" max="7943" width="10.33203125" style="78" customWidth="1"/>
    <col min="7944" max="7944" width="8.6640625" style="78" customWidth="1"/>
    <col min="7945" max="7945" width="9.5546875" style="78" customWidth="1"/>
    <col min="7946" max="7946" width="8.6640625" style="78" customWidth="1"/>
    <col min="7947" max="7947" width="10" style="78" customWidth="1"/>
    <col min="7948" max="7948" width="9.44140625" style="78" customWidth="1"/>
    <col min="7949" max="8192" width="9.109375" style="78"/>
    <col min="8193" max="8193" width="14.88671875" style="78" customWidth="1"/>
    <col min="8194" max="8198" width="8.6640625" style="78" customWidth="1"/>
    <col min="8199" max="8199" width="10.33203125" style="78" customWidth="1"/>
    <col min="8200" max="8200" width="8.6640625" style="78" customWidth="1"/>
    <col min="8201" max="8201" width="9.5546875" style="78" customWidth="1"/>
    <col min="8202" max="8202" width="8.6640625" style="78" customWidth="1"/>
    <col min="8203" max="8203" width="10" style="78" customWidth="1"/>
    <col min="8204" max="8204" width="9.44140625" style="78" customWidth="1"/>
    <col min="8205" max="8448" width="9.109375" style="78"/>
    <col min="8449" max="8449" width="14.88671875" style="78" customWidth="1"/>
    <col min="8450" max="8454" width="8.6640625" style="78" customWidth="1"/>
    <col min="8455" max="8455" width="10.33203125" style="78" customWidth="1"/>
    <col min="8456" max="8456" width="8.6640625" style="78" customWidth="1"/>
    <col min="8457" max="8457" width="9.5546875" style="78" customWidth="1"/>
    <col min="8458" max="8458" width="8.6640625" style="78" customWidth="1"/>
    <col min="8459" max="8459" width="10" style="78" customWidth="1"/>
    <col min="8460" max="8460" width="9.44140625" style="78" customWidth="1"/>
    <col min="8461" max="8704" width="9.109375" style="78"/>
    <col min="8705" max="8705" width="14.88671875" style="78" customWidth="1"/>
    <col min="8706" max="8710" width="8.6640625" style="78" customWidth="1"/>
    <col min="8711" max="8711" width="10.33203125" style="78" customWidth="1"/>
    <col min="8712" max="8712" width="8.6640625" style="78" customWidth="1"/>
    <col min="8713" max="8713" width="9.5546875" style="78" customWidth="1"/>
    <col min="8714" max="8714" width="8.6640625" style="78" customWidth="1"/>
    <col min="8715" max="8715" width="10" style="78" customWidth="1"/>
    <col min="8716" max="8716" width="9.44140625" style="78" customWidth="1"/>
    <col min="8717" max="8960" width="9.109375" style="78"/>
    <col min="8961" max="8961" width="14.88671875" style="78" customWidth="1"/>
    <col min="8962" max="8966" width="8.6640625" style="78" customWidth="1"/>
    <col min="8967" max="8967" width="10.33203125" style="78" customWidth="1"/>
    <col min="8968" max="8968" width="8.6640625" style="78" customWidth="1"/>
    <col min="8969" max="8969" width="9.5546875" style="78" customWidth="1"/>
    <col min="8970" max="8970" width="8.6640625" style="78" customWidth="1"/>
    <col min="8971" max="8971" width="10" style="78" customWidth="1"/>
    <col min="8972" max="8972" width="9.44140625" style="78" customWidth="1"/>
    <col min="8973" max="9216" width="9.109375" style="78"/>
    <col min="9217" max="9217" width="14.88671875" style="78" customWidth="1"/>
    <col min="9218" max="9222" width="8.6640625" style="78" customWidth="1"/>
    <col min="9223" max="9223" width="10.33203125" style="78" customWidth="1"/>
    <col min="9224" max="9224" width="8.6640625" style="78" customWidth="1"/>
    <col min="9225" max="9225" width="9.5546875" style="78" customWidth="1"/>
    <col min="9226" max="9226" width="8.6640625" style="78" customWidth="1"/>
    <col min="9227" max="9227" width="10" style="78" customWidth="1"/>
    <col min="9228" max="9228" width="9.44140625" style="78" customWidth="1"/>
    <col min="9229" max="9472" width="9.109375" style="78"/>
    <col min="9473" max="9473" width="14.88671875" style="78" customWidth="1"/>
    <col min="9474" max="9478" width="8.6640625" style="78" customWidth="1"/>
    <col min="9479" max="9479" width="10.33203125" style="78" customWidth="1"/>
    <col min="9480" max="9480" width="8.6640625" style="78" customWidth="1"/>
    <col min="9481" max="9481" width="9.5546875" style="78" customWidth="1"/>
    <col min="9482" max="9482" width="8.6640625" style="78" customWidth="1"/>
    <col min="9483" max="9483" width="10" style="78" customWidth="1"/>
    <col min="9484" max="9484" width="9.44140625" style="78" customWidth="1"/>
    <col min="9485" max="9728" width="9.109375" style="78"/>
    <col min="9729" max="9729" width="14.88671875" style="78" customWidth="1"/>
    <col min="9730" max="9734" width="8.6640625" style="78" customWidth="1"/>
    <col min="9735" max="9735" width="10.33203125" style="78" customWidth="1"/>
    <col min="9736" max="9736" width="8.6640625" style="78" customWidth="1"/>
    <col min="9737" max="9737" width="9.5546875" style="78" customWidth="1"/>
    <col min="9738" max="9738" width="8.6640625" style="78" customWidth="1"/>
    <col min="9739" max="9739" width="10" style="78" customWidth="1"/>
    <col min="9740" max="9740" width="9.44140625" style="78" customWidth="1"/>
    <col min="9741" max="9984" width="9.109375" style="78"/>
    <col min="9985" max="9985" width="14.88671875" style="78" customWidth="1"/>
    <col min="9986" max="9990" width="8.6640625" style="78" customWidth="1"/>
    <col min="9991" max="9991" width="10.33203125" style="78" customWidth="1"/>
    <col min="9992" max="9992" width="8.6640625" style="78" customWidth="1"/>
    <col min="9993" max="9993" width="9.5546875" style="78" customWidth="1"/>
    <col min="9994" max="9994" width="8.6640625" style="78" customWidth="1"/>
    <col min="9995" max="9995" width="10" style="78" customWidth="1"/>
    <col min="9996" max="9996" width="9.44140625" style="78" customWidth="1"/>
    <col min="9997" max="10240" width="9.109375" style="78"/>
    <col min="10241" max="10241" width="14.88671875" style="78" customWidth="1"/>
    <col min="10242" max="10246" width="8.6640625" style="78" customWidth="1"/>
    <col min="10247" max="10247" width="10.33203125" style="78" customWidth="1"/>
    <col min="10248" max="10248" width="8.6640625" style="78" customWidth="1"/>
    <col min="10249" max="10249" width="9.5546875" style="78" customWidth="1"/>
    <col min="10250" max="10250" width="8.6640625" style="78" customWidth="1"/>
    <col min="10251" max="10251" width="10" style="78" customWidth="1"/>
    <col min="10252" max="10252" width="9.44140625" style="78" customWidth="1"/>
    <col min="10253" max="10496" width="9.109375" style="78"/>
    <col min="10497" max="10497" width="14.88671875" style="78" customWidth="1"/>
    <col min="10498" max="10502" width="8.6640625" style="78" customWidth="1"/>
    <col min="10503" max="10503" width="10.33203125" style="78" customWidth="1"/>
    <col min="10504" max="10504" width="8.6640625" style="78" customWidth="1"/>
    <col min="10505" max="10505" width="9.5546875" style="78" customWidth="1"/>
    <col min="10506" max="10506" width="8.6640625" style="78" customWidth="1"/>
    <col min="10507" max="10507" width="10" style="78" customWidth="1"/>
    <col min="10508" max="10508" width="9.44140625" style="78" customWidth="1"/>
    <col min="10509" max="10752" width="9.109375" style="78"/>
    <col min="10753" max="10753" width="14.88671875" style="78" customWidth="1"/>
    <col min="10754" max="10758" width="8.6640625" style="78" customWidth="1"/>
    <col min="10759" max="10759" width="10.33203125" style="78" customWidth="1"/>
    <col min="10760" max="10760" width="8.6640625" style="78" customWidth="1"/>
    <col min="10761" max="10761" width="9.5546875" style="78" customWidth="1"/>
    <col min="10762" max="10762" width="8.6640625" style="78" customWidth="1"/>
    <col min="10763" max="10763" width="10" style="78" customWidth="1"/>
    <col min="10764" max="10764" width="9.44140625" style="78" customWidth="1"/>
    <col min="10765" max="11008" width="9.109375" style="78"/>
    <col min="11009" max="11009" width="14.88671875" style="78" customWidth="1"/>
    <col min="11010" max="11014" width="8.6640625" style="78" customWidth="1"/>
    <col min="11015" max="11015" width="10.33203125" style="78" customWidth="1"/>
    <col min="11016" max="11016" width="8.6640625" style="78" customWidth="1"/>
    <col min="11017" max="11017" width="9.5546875" style="78" customWidth="1"/>
    <col min="11018" max="11018" width="8.6640625" style="78" customWidth="1"/>
    <col min="11019" max="11019" width="10" style="78" customWidth="1"/>
    <col min="11020" max="11020" width="9.44140625" style="78" customWidth="1"/>
    <col min="11021" max="11264" width="9.109375" style="78"/>
    <col min="11265" max="11265" width="14.88671875" style="78" customWidth="1"/>
    <col min="11266" max="11270" width="8.6640625" style="78" customWidth="1"/>
    <col min="11271" max="11271" width="10.33203125" style="78" customWidth="1"/>
    <col min="11272" max="11272" width="8.6640625" style="78" customWidth="1"/>
    <col min="11273" max="11273" width="9.5546875" style="78" customWidth="1"/>
    <col min="11274" max="11274" width="8.6640625" style="78" customWidth="1"/>
    <col min="11275" max="11275" width="10" style="78" customWidth="1"/>
    <col min="11276" max="11276" width="9.44140625" style="78" customWidth="1"/>
    <col min="11277" max="11520" width="9.109375" style="78"/>
    <col min="11521" max="11521" width="14.88671875" style="78" customWidth="1"/>
    <col min="11522" max="11526" width="8.6640625" style="78" customWidth="1"/>
    <col min="11527" max="11527" width="10.33203125" style="78" customWidth="1"/>
    <col min="11528" max="11528" width="8.6640625" style="78" customWidth="1"/>
    <col min="11529" max="11529" width="9.5546875" style="78" customWidth="1"/>
    <col min="11530" max="11530" width="8.6640625" style="78" customWidth="1"/>
    <col min="11531" max="11531" width="10" style="78" customWidth="1"/>
    <col min="11532" max="11532" width="9.44140625" style="78" customWidth="1"/>
    <col min="11533" max="11776" width="9.109375" style="78"/>
    <col min="11777" max="11777" width="14.88671875" style="78" customWidth="1"/>
    <col min="11778" max="11782" width="8.6640625" style="78" customWidth="1"/>
    <col min="11783" max="11783" width="10.33203125" style="78" customWidth="1"/>
    <col min="11784" max="11784" width="8.6640625" style="78" customWidth="1"/>
    <col min="11785" max="11785" width="9.5546875" style="78" customWidth="1"/>
    <col min="11786" max="11786" width="8.6640625" style="78" customWidth="1"/>
    <col min="11787" max="11787" width="10" style="78" customWidth="1"/>
    <col min="11788" max="11788" width="9.44140625" style="78" customWidth="1"/>
    <col min="11789" max="12032" width="9.109375" style="78"/>
    <col min="12033" max="12033" width="14.88671875" style="78" customWidth="1"/>
    <col min="12034" max="12038" width="8.6640625" style="78" customWidth="1"/>
    <col min="12039" max="12039" width="10.33203125" style="78" customWidth="1"/>
    <col min="12040" max="12040" width="8.6640625" style="78" customWidth="1"/>
    <col min="12041" max="12041" width="9.5546875" style="78" customWidth="1"/>
    <col min="12042" max="12042" width="8.6640625" style="78" customWidth="1"/>
    <col min="12043" max="12043" width="10" style="78" customWidth="1"/>
    <col min="12044" max="12044" width="9.44140625" style="78" customWidth="1"/>
    <col min="12045" max="12288" width="9.109375" style="78"/>
    <col min="12289" max="12289" width="14.88671875" style="78" customWidth="1"/>
    <col min="12290" max="12294" width="8.6640625" style="78" customWidth="1"/>
    <col min="12295" max="12295" width="10.33203125" style="78" customWidth="1"/>
    <col min="12296" max="12296" width="8.6640625" style="78" customWidth="1"/>
    <col min="12297" max="12297" width="9.5546875" style="78" customWidth="1"/>
    <col min="12298" max="12298" width="8.6640625" style="78" customWidth="1"/>
    <col min="12299" max="12299" width="10" style="78" customWidth="1"/>
    <col min="12300" max="12300" width="9.44140625" style="78" customWidth="1"/>
    <col min="12301" max="12544" width="9.109375" style="78"/>
    <col min="12545" max="12545" width="14.88671875" style="78" customWidth="1"/>
    <col min="12546" max="12550" width="8.6640625" style="78" customWidth="1"/>
    <col min="12551" max="12551" width="10.33203125" style="78" customWidth="1"/>
    <col min="12552" max="12552" width="8.6640625" style="78" customWidth="1"/>
    <col min="12553" max="12553" width="9.5546875" style="78" customWidth="1"/>
    <col min="12554" max="12554" width="8.6640625" style="78" customWidth="1"/>
    <col min="12555" max="12555" width="10" style="78" customWidth="1"/>
    <col min="12556" max="12556" width="9.44140625" style="78" customWidth="1"/>
    <col min="12557" max="12800" width="9.109375" style="78"/>
    <col min="12801" max="12801" width="14.88671875" style="78" customWidth="1"/>
    <col min="12802" max="12806" width="8.6640625" style="78" customWidth="1"/>
    <col min="12807" max="12807" width="10.33203125" style="78" customWidth="1"/>
    <col min="12808" max="12808" width="8.6640625" style="78" customWidth="1"/>
    <col min="12809" max="12809" width="9.5546875" style="78" customWidth="1"/>
    <col min="12810" max="12810" width="8.6640625" style="78" customWidth="1"/>
    <col min="12811" max="12811" width="10" style="78" customWidth="1"/>
    <col min="12812" max="12812" width="9.44140625" style="78" customWidth="1"/>
    <col min="12813" max="13056" width="9.109375" style="78"/>
    <col min="13057" max="13057" width="14.88671875" style="78" customWidth="1"/>
    <col min="13058" max="13062" width="8.6640625" style="78" customWidth="1"/>
    <col min="13063" max="13063" width="10.33203125" style="78" customWidth="1"/>
    <col min="13064" max="13064" width="8.6640625" style="78" customWidth="1"/>
    <col min="13065" max="13065" width="9.5546875" style="78" customWidth="1"/>
    <col min="13066" max="13066" width="8.6640625" style="78" customWidth="1"/>
    <col min="13067" max="13067" width="10" style="78" customWidth="1"/>
    <col min="13068" max="13068" width="9.44140625" style="78" customWidth="1"/>
    <col min="13069" max="13312" width="9.109375" style="78"/>
    <col min="13313" max="13313" width="14.88671875" style="78" customWidth="1"/>
    <col min="13314" max="13318" width="8.6640625" style="78" customWidth="1"/>
    <col min="13319" max="13319" width="10.33203125" style="78" customWidth="1"/>
    <col min="13320" max="13320" width="8.6640625" style="78" customWidth="1"/>
    <col min="13321" max="13321" width="9.5546875" style="78" customWidth="1"/>
    <col min="13322" max="13322" width="8.6640625" style="78" customWidth="1"/>
    <col min="13323" max="13323" width="10" style="78" customWidth="1"/>
    <col min="13324" max="13324" width="9.44140625" style="78" customWidth="1"/>
    <col min="13325" max="13568" width="9.109375" style="78"/>
    <col min="13569" max="13569" width="14.88671875" style="78" customWidth="1"/>
    <col min="13570" max="13574" width="8.6640625" style="78" customWidth="1"/>
    <col min="13575" max="13575" width="10.33203125" style="78" customWidth="1"/>
    <col min="13576" max="13576" width="8.6640625" style="78" customWidth="1"/>
    <col min="13577" max="13577" width="9.5546875" style="78" customWidth="1"/>
    <col min="13578" max="13578" width="8.6640625" style="78" customWidth="1"/>
    <col min="13579" max="13579" width="10" style="78" customWidth="1"/>
    <col min="13580" max="13580" width="9.44140625" style="78" customWidth="1"/>
    <col min="13581" max="13824" width="9.109375" style="78"/>
    <col min="13825" max="13825" width="14.88671875" style="78" customWidth="1"/>
    <col min="13826" max="13830" width="8.6640625" style="78" customWidth="1"/>
    <col min="13831" max="13831" width="10.33203125" style="78" customWidth="1"/>
    <col min="13832" max="13832" width="8.6640625" style="78" customWidth="1"/>
    <col min="13833" max="13833" width="9.5546875" style="78" customWidth="1"/>
    <col min="13834" max="13834" width="8.6640625" style="78" customWidth="1"/>
    <col min="13835" max="13835" width="10" style="78" customWidth="1"/>
    <col min="13836" max="13836" width="9.44140625" style="78" customWidth="1"/>
    <col min="13837" max="14080" width="9.109375" style="78"/>
    <col min="14081" max="14081" width="14.88671875" style="78" customWidth="1"/>
    <col min="14082" max="14086" width="8.6640625" style="78" customWidth="1"/>
    <col min="14087" max="14087" width="10.33203125" style="78" customWidth="1"/>
    <col min="14088" max="14088" width="8.6640625" style="78" customWidth="1"/>
    <col min="14089" max="14089" width="9.5546875" style="78" customWidth="1"/>
    <col min="14090" max="14090" width="8.6640625" style="78" customWidth="1"/>
    <col min="14091" max="14091" width="10" style="78" customWidth="1"/>
    <col min="14092" max="14092" width="9.44140625" style="78" customWidth="1"/>
    <col min="14093" max="14336" width="9.109375" style="78"/>
    <col min="14337" max="14337" width="14.88671875" style="78" customWidth="1"/>
    <col min="14338" max="14342" width="8.6640625" style="78" customWidth="1"/>
    <col min="14343" max="14343" width="10.33203125" style="78" customWidth="1"/>
    <col min="14344" max="14344" width="8.6640625" style="78" customWidth="1"/>
    <col min="14345" max="14345" width="9.5546875" style="78" customWidth="1"/>
    <col min="14346" max="14346" width="8.6640625" style="78" customWidth="1"/>
    <col min="14347" max="14347" width="10" style="78" customWidth="1"/>
    <col min="14348" max="14348" width="9.44140625" style="78" customWidth="1"/>
    <col min="14349" max="14592" width="9.109375" style="78"/>
    <col min="14593" max="14593" width="14.88671875" style="78" customWidth="1"/>
    <col min="14594" max="14598" width="8.6640625" style="78" customWidth="1"/>
    <col min="14599" max="14599" width="10.33203125" style="78" customWidth="1"/>
    <col min="14600" max="14600" width="8.6640625" style="78" customWidth="1"/>
    <col min="14601" max="14601" width="9.5546875" style="78" customWidth="1"/>
    <col min="14602" max="14602" width="8.6640625" style="78" customWidth="1"/>
    <col min="14603" max="14603" width="10" style="78" customWidth="1"/>
    <col min="14604" max="14604" width="9.44140625" style="78" customWidth="1"/>
    <col min="14605" max="14848" width="9.109375" style="78"/>
    <col min="14849" max="14849" width="14.88671875" style="78" customWidth="1"/>
    <col min="14850" max="14854" width="8.6640625" style="78" customWidth="1"/>
    <col min="14855" max="14855" width="10.33203125" style="78" customWidth="1"/>
    <col min="14856" max="14856" width="8.6640625" style="78" customWidth="1"/>
    <col min="14857" max="14857" width="9.5546875" style="78" customWidth="1"/>
    <col min="14858" max="14858" width="8.6640625" style="78" customWidth="1"/>
    <col min="14859" max="14859" width="10" style="78" customWidth="1"/>
    <col min="14860" max="14860" width="9.44140625" style="78" customWidth="1"/>
    <col min="14861" max="15104" width="9.109375" style="78"/>
    <col min="15105" max="15105" width="14.88671875" style="78" customWidth="1"/>
    <col min="15106" max="15110" width="8.6640625" style="78" customWidth="1"/>
    <col min="15111" max="15111" width="10.33203125" style="78" customWidth="1"/>
    <col min="15112" max="15112" width="8.6640625" style="78" customWidth="1"/>
    <col min="15113" max="15113" width="9.5546875" style="78" customWidth="1"/>
    <col min="15114" max="15114" width="8.6640625" style="78" customWidth="1"/>
    <col min="15115" max="15115" width="10" style="78" customWidth="1"/>
    <col min="15116" max="15116" width="9.44140625" style="78" customWidth="1"/>
    <col min="15117" max="15360" width="9.109375" style="78"/>
    <col min="15361" max="15361" width="14.88671875" style="78" customWidth="1"/>
    <col min="15362" max="15366" width="8.6640625" style="78" customWidth="1"/>
    <col min="15367" max="15367" width="10.33203125" style="78" customWidth="1"/>
    <col min="15368" max="15368" width="8.6640625" style="78" customWidth="1"/>
    <col min="15369" max="15369" width="9.5546875" style="78" customWidth="1"/>
    <col min="15370" max="15370" width="8.6640625" style="78" customWidth="1"/>
    <col min="15371" max="15371" width="10" style="78" customWidth="1"/>
    <col min="15372" max="15372" width="9.44140625" style="78" customWidth="1"/>
    <col min="15373" max="15616" width="9.109375" style="78"/>
    <col min="15617" max="15617" width="14.88671875" style="78" customWidth="1"/>
    <col min="15618" max="15622" width="8.6640625" style="78" customWidth="1"/>
    <col min="15623" max="15623" width="10.33203125" style="78" customWidth="1"/>
    <col min="15624" max="15624" width="8.6640625" style="78" customWidth="1"/>
    <col min="15625" max="15625" width="9.5546875" style="78" customWidth="1"/>
    <col min="15626" max="15626" width="8.6640625" style="78" customWidth="1"/>
    <col min="15627" max="15627" width="10" style="78" customWidth="1"/>
    <col min="15628" max="15628" width="9.44140625" style="78" customWidth="1"/>
    <col min="15629" max="15872" width="9.109375" style="78"/>
    <col min="15873" max="15873" width="14.88671875" style="78" customWidth="1"/>
    <col min="15874" max="15878" width="8.6640625" style="78" customWidth="1"/>
    <col min="15879" max="15879" width="10.33203125" style="78" customWidth="1"/>
    <col min="15880" max="15880" width="8.6640625" style="78" customWidth="1"/>
    <col min="15881" max="15881" width="9.5546875" style="78" customWidth="1"/>
    <col min="15882" max="15882" width="8.6640625" style="78" customWidth="1"/>
    <col min="15883" max="15883" width="10" style="78" customWidth="1"/>
    <col min="15884" max="15884" width="9.44140625" style="78" customWidth="1"/>
    <col min="15885" max="16128" width="9.109375" style="78"/>
    <col min="16129" max="16129" width="14.88671875" style="78" customWidth="1"/>
    <col min="16130" max="16134" width="8.6640625" style="78" customWidth="1"/>
    <col min="16135" max="16135" width="10.33203125" style="78" customWidth="1"/>
    <col min="16136" max="16136" width="8.6640625" style="78" customWidth="1"/>
    <col min="16137" max="16137" width="9.5546875" style="78" customWidth="1"/>
    <col min="16138" max="16138" width="8.6640625" style="78" customWidth="1"/>
    <col min="16139" max="16139" width="10" style="78" customWidth="1"/>
    <col min="16140" max="16140" width="9.44140625" style="78" customWidth="1"/>
    <col min="16141" max="16384" width="9.109375" style="78"/>
  </cols>
  <sheetData>
    <row r="1" spans="1:12">
      <c r="A1" s="78" t="s">
        <v>153</v>
      </c>
    </row>
    <row r="2" spans="1:12" ht="13.8">
      <c r="A2" s="79" t="s">
        <v>112</v>
      </c>
    </row>
    <row r="3" spans="1:12" s="86" customFormat="1">
      <c r="A3" s="80" t="s">
        <v>113</v>
      </c>
      <c r="B3" s="81"/>
      <c r="C3" s="81"/>
      <c r="D3" s="82" t="s">
        <v>114</v>
      </c>
      <c r="E3" s="83"/>
      <c r="F3" s="83" t="s">
        <v>115</v>
      </c>
      <c r="G3" s="81"/>
      <c r="H3" s="84" t="s">
        <v>116</v>
      </c>
      <c r="I3" s="85">
        <f>D4/F4</f>
        <v>0.75002727272727265</v>
      </c>
    </row>
    <row r="4" spans="1:12">
      <c r="A4" s="87" t="s">
        <v>117</v>
      </c>
      <c r="B4" s="88">
        <v>12</v>
      </c>
      <c r="C4" s="89" t="s">
        <v>118</v>
      </c>
      <c r="D4" s="90">
        <v>91.67</v>
      </c>
      <c r="E4" s="89" t="s">
        <v>119</v>
      </c>
      <c r="F4" s="88">
        <f>B33/0.09</f>
        <v>122.22222222222223</v>
      </c>
      <c r="G4" s="91">
        <f>F4*100000</f>
        <v>12222222.222222222</v>
      </c>
      <c r="H4" s="84" t="s">
        <v>120</v>
      </c>
      <c r="I4" s="85">
        <f>D4/F5</f>
        <v>0.79320136542857123</v>
      </c>
    </row>
    <row r="5" spans="1:12">
      <c r="A5" s="87" t="s">
        <v>121</v>
      </c>
      <c r="B5" s="92">
        <v>0.01</v>
      </c>
      <c r="C5" s="89" t="s">
        <v>122</v>
      </c>
      <c r="D5" s="87">
        <v>1000</v>
      </c>
      <c r="E5" s="89" t="s">
        <v>123</v>
      </c>
      <c r="F5" s="93">
        <f>NPV(0.1,B38:K38)</f>
        <v>115.56964472756572</v>
      </c>
      <c r="G5" s="91">
        <f>F5*100000</f>
        <v>11556964.472756572</v>
      </c>
      <c r="H5" s="81" t="s">
        <v>124</v>
      </c>
      <c r="I5" s="85">
        <f>K20/K19</f>
        <v>0.7054642250412797</v>
      </c>
    </row>
    <row r="6" spans="1:12">
      <c r="A6" s="87" t="s">
        <v>125</v>
      </c>
      <c r="B6" s="92">
        <v>0.1</v>
      </c>
      <c r="C6" s="89" t="s">
        <v>126</v>
      </c>
      <c r="D6" s="92">
        <v>7.8700000000000006E-2</v>
      </c>
      <c r="E6" s="87"/>
      <c r="F6" s="87"/>
      <c r="G6" s="87"/>
      <c r="H6" s="87"/>
      <c r="I6" s="85"/>
    </row>
    <row r="7" spans="1:12">
      <c r="A7" s="87" t="s">
        <v>127</v>
      </c>
      <c r="B7" s="87">
        <v>3</v>
      </c>
      <c r="C7" s="92">
        <v>0.25</v>
      </c>
      <c r="D7" s="94" t="s">
        <v>128</v>
      </c>
      <c r="E7" s="87"/>
      <c r="F7" s="87"/>
      <c r="G7" s="87"/>
      <c r="H7" s="87"/>
      <c r="I7" s="87"/>
    </row>
    <row r="8" spans="1:12">
      <c r="A8" s="87"/>
      <c r="B8" s="87" t="s">
        <v>129</v>
      </c>
      <c r="C8" s="92" t="s">
        <v>130</v>
      </c>
      <c r="D8" s="87" t="s">
        <v>131</v>
      </c>
      <c r="E8" s="92">
        <f>IRR(A44:K44,0.1)</f>
        <v>0.12829514868576264</v>
      </c>
      <c r="F8" s="87"/>
      <c r="G8" s="87"/>
      <c r="H8" s="87"/>
      <c r="I8" s="87"/>
    </row>
    <row r="9" spans="1:12">
      <c r="A9" s="87" t="s">
        <v>132</v>
      </c>
      <c r="B9" s="90">
        <v>2</v>
      </c>
      <c r="C9" s="90">
        <v>5</v>
      </c>
      <c r="D9" s="94"/>
      <c r="E9" s="87"/>
      <c r="F9" s="87"/>
      <c r="G9" s="87"/>
      <c r="H9" s="87"/>
      <c r="I9" s="87"/>
    </row>
    <row r="10" spans="1:12" ht="13.8" thickBot="1">
      <c r="A10" s="87" t="s">
        <v>133</v>
      </c>
      <c r="B10" s="90">
        <v>10</v>
      </c>
      <c r="C10" s="90">
        <v>20</v>
      </c>
      <c r="D10" s="94"/>
      <c r="E10" s="87"/>
      <c r="F10" s="87"/>
      <c r="G10" s="87"/>
      <c r="H10" s="87"/>
      <c r="I10" s="87"/>
    </row>
    <row r="11" spans="1:12">
      <c r="A11" s="95" t="s">
        <v>134</v>
      </c>
      <c r="B11" s="96">
        <v>1</v>
      </c>
      <c r="C11" s="96">
        <v>2</v>
      </c>
      <c r="D11" s="96">
        <v>3</v>
      </c>
      <c r="E11" s="96">
        <v>4</v>
      </c>
      <c r="F11" s="96">
        <v>5</v>
      </c>
      <c r="G11" s="96">
        <v>6</v>
      </c>
      <c r="H11" s="96">
        <v>7</v>
      </c>
      <c r="I11" s="96">
        <v>8</v>
      </c>
      <c r="J11" s="96">
        <v>9</v>
      </c>
      <c r="K11" s="97">
        <v>10</v>
      </c>
      <c r="L11" s="83" t="s">
        <v>135</v>
      </c>
    </row>
    <row r="12" spans="1:12">
      <c r="A12" s="98" t="s">
        <v>136</v>
      </c>
      <c r="B12" s="99">
        <f t="shared" ref="B12:L15" si="0">B30</f>
        <v>12.120000000000001</v>
      </c>
      <c r="C12" s="99">
        <f t="shared" si="0"/>
        <v>12.241200000000001</v>
      </c>
      <c r="D12" s="99">
        <f t="shared" si="0"/>
        <v>12.363612000000002</v>
      </c>
      <c r="E12" s="99">
        <f t="shared" si="0"/>
        <v>12.487248120000002</v>
      </c>
      <c r="F12" s="99">
        <f t="shared" si="0"/>
        <v>12.612120601200003</v>
      </c>
      <c r="G12" s="99">
        <f t="shared" si="0"/>
        <v>12.738241807212002</v>
      </c>
      <c r="H12" s="99">
        <f t="shared" si="0"/>
        <v>12.865624225284122</v>
      </c>
      <c r="I12" s="99">
        <f t="shared" si="0"/>
        <v>12.994280467536964</v>
      </c>
      <c r="J12" s="99">
        <f t="shared" si="0"/>
        <v>13.124223272212333</v>
      </c>
      <c r="K12" s="99">
        <f t="shared" si="0"/>
        <v>13.255465504934456</v>
      </c>
      <c r="L12" s="99">
        <f t="shared" si="0"/>
        <v>13.388020159983801</v>
      </c>
    </row>
    <row r="13" spans="1:12">
      <c r="A13" s="98" t="s">
        <v>137</v>
      </c>
      <c r="B13" s="99">
        <v>11</v>
      </c>
      <c r="C13" s="99">
        <f t="shared" si="0"/>
        <v>11.5</v>
      </c>
      <c r="D13" s="99">
        <f t="shared" si="0"/>
        <v>11.5</v>
      </c>
      <c r="E13" s="99">
        <f t="shared" si="0"/>
        <v>11.5</v>
      </c>
      <c r="F13" s="99">
        <f t="shared" si="0"/>
        <v>12</v>
      </c>
      <c r="G13" s="99">
        <f t="shared" si="0"/>
        <v>12</v>
      </c>
      <c r="H13" s="99">
        <f t="shared" si="0"/>
        <v>12</v>
      </c>
      <c r="I13" s="99">
        <f t="shared" si="0"/>
        <v>12.994280467536964</v>
      </c>
      <c r="J13" s="99">
        <f t="shared" si="0"/>
        <v>12.994280467536964</v>
      </c>
      <c r="K13" s="99">
        <f t="shared" si="0"/>
        <v>12.994280467536964</v>
      </c>
      <c r="L13" s="99">
        <f t="shared" si="0"/>
        <v>12.994280467536964</v>
      </c>
    </row>
    <row r="14" spans="1:12">
      <c r="A14" s="98" t="s">
        <v>138</v>
      </c>
      <c r="B14" s="99">
        <f>B32</f>
        <v>0</v>
      </c>
      <c r="C14" s="99">
        <f t="shared" si="0"/>
        <v>0</v>
      </c>
      <c r="D14" s="99">
        <f t="shared" si="0"/>
        <v>0</v>
      </c>
      <c r="E14" s="99">
        <f t="shared" si="0"/>
        <v>0</v>
      </c>
      <c r="F14" s="99">
        <f t="shared" si="0"/>
        <v>0</v>
      </c>
      <c r="G14" s="99">
        <f t="shared" si="0"/>
        <v>0</v>
      </c>
      <c r="H14" s="99">
        <f t="shared" si="0"/>
        <v>0</v>
      </c>
      <c r="I14" s="99">
        <f t="shared" si="0"/>
        <v>0.81214252922106023</v>
      </c>
      <c r="J14" s="99">
        <f t="shared" si="0"/>
        <v>0</v>
      </c>
      <c r="K14" s="99">
        <f t="shared" si="0"/>
        <v>0</v>
      </c>
      <c r="L14" s="99">
        <f t="shared" si="0"/>
        <v>0</v>
      </c>
    </row>
    <row r="15" spans="1:12">
      <c r="A15" s="98" t="s">
        <v>139</v>
      </c>
      <c r="B15" s="99">
        <f>B33</f>
        <v>11</v>
      </c>
      <c r="C15" s="99">
        <f t="shared" si="0"/>
        <v>11.5</v>
      </c>
      <c r="D15" s="99">
        <f t="shared" si="0"/>
        <v>11.5</v>
      </c>
      <c r="E15" s="99">
        <f t="shared" si="0"/>
        <v>11.5</v>
      </c>
      <c r="F15" s="99">
        <f t="shared" si="0"/>
        <v>12</v>
      </c>
      <c r="G15" s="99">
        <f t="shared" si="0"/>
        <v>12</v>
      </c>
      <c r="H15" s="99">
        <f t="shared" si="0"/>
        <v>12</v>
      </c>
      <c r="I15" s="99">
        <f t="shared" si="0"/>
        <v>12.182137938315904</v>
      </c>
      <c r="J15" s="99">
        <f t="shared" si="0"/>
        <v>12.994280467536964</v>
      </c>
      <c r="K15" s="99">
        <f t="shared" si="0"/>
        <v>12.994280467536964</v>
      </c>
      <c r="L15" s="99">
        <f t="shared" si="0"/>
        <v>12.994280467536964</v>
      </c>
    </row>
    <row r="16" spans="1:12">
      <c r="A16" s="98" t="s">
        <v>140</v>
      </c>
      <c r="B16" s="100">
        <f t="shared" ref="B16:L18" si="1">B33*100000</f>
        <v>1100000</v>
      </c>
      <c r="C16" s="100">
        <f t="shared" si="1"/>
        <v>1150000</v>
      </c>
      <c r="D16" s="100">
        <f t="shared" si="1"/>
        <v>1150000</v>
      </c>
      <c r="E16" s="100">
        <f t="shared" si="1"/>
        <v>1150000</v>
      </c>
      <c r="F16" s="100">
        <f t="shared" si="1"/>
        <v>1200000</v>
      </c>
      <c r="G16" s="100">
        <f t="shared" si="1"/>
        <v>1200000</v>
      </c>
      <c r="H16" s="100">
        <f t="shared" si="1"/>
        <v>1200000</v>
      </c>
      <c r="I16" s="100">
        <f t="shared" si="1"/>
        <v>1218213.7938315903</v>
      </c>
      <c r="J16" s="100">
        <f t="shared" si="1"/>
        <v>1299428.0467536964</v>
      </c>
      <c r="K16" s="100">
        <f t="shared" si="1"/>
        <v>1299428.0467536964</v>
      </c>
      <c r="L16" s="101">
        <f t="shared" si="1"/>
        <v>1299428.0467536964</v>
      </c>
    </row>
    <row r="17" spans="1:12">
      <c r="A17" s="98" t="s">
        <v>141</v>
      </c>
      <c r="B17" s="100">
        <f t="shared" si="1"/>
        <v>0</v>
      </c>
      <c r="C17" s="100">
        <f t="shared" si="1"/>
        <v>0</v>
      </c>
      <c r="D17" s="100">
        <f t="shared" si="1"/>
        <v>0</v>
      </c>
      <c r="E17" s="100">
        <f t="shared" si="1"/>
        <v>0</v>
      </c>
      <c r="F17" s="100">
        <f t="shared" si="1"/>
        <v>0</v>
      </c>
      <c r="G17" s="100">
        <f t="shared" si="1"/>
        <v>0</v>
      </c>
      <c r="H17" s="100">
        <f t="shared" si="1"/>
        <v>0</v>
      </c>
      <c r="I17" s="100">
        <f t="shared" si="1"/>
        <v>-275000</v>
      </c>
      <c r="J17" s="100">
        <f t="shared" si="1"/>
        <v>0</v>
      </c>
      <c r="K17" s="100">
        <f t="shared" si="1"/>
        <v>0</v>
      </c>
      <c r="L17" s="101"/>
    </row>
    <row r="18" spans="1:12">
      <c r="A18" s="98" t="s">
        <v>142</v>
      </c>
      <c r="B18" s="100">
        <f t="shared" si="1"/>
        <v>0</v>
      </c>
      <c r="C18" s="100">
        <f t="shared" si="1"/>
        <v>0</v>
      </c>
      <c r="D18" s="100">
        <f t="shared" si="1"/>
        <v>0</v>
      </c>
      <c r="E18" s="100">
        <f t="shared" si="1"/>
        <v>0</v>
      </c>
      <c r="F18" s="100">
        <f t="shared" si="1"/>
        <v>0</v>
      </c>
      <c r="G18" s="100">
        <f t="shared" si="1"/>
        <v>0</v>
      </c>
      <c r="H18" s="100">
        <f t="shared" si="1"/>
        <v>0</v>
      </c>
      <c r="I18" s="100">
        <f t="shared" si="1"/>
        <v>-1250000</v>
      </c>
      <c r="J18" s="100">
        <f t="shared" si="1"/>
        <v>0</v>
      </c>
      <c r="K18" s="100">
        <f t="shared" si="1"/>
        <v>0</v>
      </c>
      <c r="L18" s="101"/>
    </row>
    <row r="19" spans="1:12">
      <c r="A19" s="98" t="s">
        <v>143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>
        <f>K36*100000</f>
        <v>12994280.467536962</v>
      </c>
      <c r="L19" s="101"/>
    </row>
    <row r="20" spans="1:12">
      <c r="A20" s="98" t="s">
        <v>144</v>
      </c>
      <c r="B20" s="100"/>
      <c r="C20" s="100"/>
      <c r="D20" s="100"/>
      <c r="E20" s="100"/>
      <c r="F20" s="100"/>
      <c r="G20" s="100"/>
      <c r="H20" s="100"/>
      <c r="I20" s="100"/>
      <c r="J20" s="100"/>
      <c r="K20" s="100">
        <f>K37*100000</f>
        <v>9167000</v>
      </c>
      <c r="L20" s="101"/>
    </row>
    <row r="21" spans="1:12">
      <c r="A21" s="98" t="s">
        <v>145</v>
      </c>
      <c r="B21" s="100">
        <f t="shared" ref="B21:J23" si="2">B38*100000</f>
        <v>1100000</v>
      </c>
      <c r="C21" s="100">
        <f t="shared" si="2"/>
        <v>1150000</v>
      </c>
      <c r="D21" s="100">
        <f t="shared" si="2"/>
        <v>1150000</v>
      </c>
      <c r="E21" s="100">
        <f t="shared" si="2"/>
        <v>1150000</v>
      </c>
      <c r="F21" s="100">
        <f t="shared" si="2"/>
        <v>1200000</v>
      </c>
      <c r="G21" s="100">
        <f t="shared" si="2"/>
        <v>1200000</v>
      </c>
      <c r="H21" s="100">
        <f t="shared" si="2"/>
        <v>1200000</v>
      </c>
      <c r="I21" s="100">
        <f t="shared" si="2"/>
        <v>-306786.20616840961</v>
      </c>
      <c r="J21" s="100">
        <f t="shared" si="2"/>
        <v>1299428.0467536964</v>
      </c>
      <c r="K21" s="100">
        <f>K38*100000</f>
        <v>14293708.514290657</v>
      </c>
      <c r="L21" s="101"/>
    </row>
    <row r="22" spans="1:12">
      <c r="A22" s="98" t="s">
        <v>146</v>
      </c>
      <c r="B22" s="100">
        <f t="shared" si="2"/>
        <v>-721442.90000000014</v>
      </c>
      <c r="C22" s="100">
        <f t="shared" si="2"/>
        <v>-721442.90000000014</v>
      </c>
      <c r="D22" s="100">
        <f t="shared" si="2"/>
        <v>-721442.90000000014</v>
      </c>
      <c r="E22" s="100">
        <f t="shared" si="2"/>
        <v>-721442.90000000014</v>
      </c>
      <c r="F22" s="100">
        <f t="shared" si="2"/>
        <v>-721442.90000000014</v>
      </c>
      <c r="G22" s="100">
        <f t="shared" si="2"/>
        <v>-721442.90000000014</v>
      </c>
      <c r="H22" s="100">
        <f t="shared" si="2"/>
        <v>-721442.90000000014</v>
      </c>
      <c r="I22" s="100">
        <f t="shared" si="2"/>
        <v>-721442.90000000014</v>
      </c>
      <c r="J22" s="100">
        <f t="shared" si="2"/>
        <v>-721442.90000000014</v>
      </c>
      <c r="K22" s="100">
        <f>K39*100000</f>
        <v>-9888442.9000000004</v>
      </c>
      <c r="L22" s="101"/>
    </row>
    <row r="23" spans="1:12">
      <c r="A23" s="98" t="str">
        <f>A40</f>
        <v>EBTCF</v>
      </c>
      <c r="B23" s="102">
        <f t="shared" si="2"/>
        <v>378557.09999999992</v>
      </c>
      <c r="C23" s="102">
        <f t="shared" si="2"/>
        <v>428557.09999999992</v>
      </c>
      <c r="D23" s="102">
        <f t="shared" si="2"/>
        <v>428557.09999999992</v>
      </c>
      <c r="E23" s="102">
        <f t="shared" si="2"/>
        <v>428557.09999999992</v>
      </c>
      <c r="F23" s="102">
        <f t="shared" si="2"/>
        <v>478557.09999999992</v>
      </c>
      <c r="G23" s="102">
        <f t="shared" si="2"/>
        <v>478557.09999999992</v>
      </c>
      <c r="H23" s="102">
        <f t="shared" si="2"/>
        <v>478557.09999999992</v>
      </c>
      <c r="I23" s="102">
        <f t="shared" si="2"/>
        <v>-1028229.1061684097</v>
      </c>
      <c r="J23" s="102">
        <f t="shared" si="2"/>
        <v>577985.14675369626</v>
      </c>
      <c r="K23" s="102">
        <f>K40*100000</f>
        <v>4405265.6142906575</v>
      </c>
      <c r="L23" s="81"/>
    </row>
    <row r="24" spans="1:12">
      <c r="A24" s="98" t="str">
        <f>A41</f>
        <v>DCR</v>
      </c>
      <c r="B24" s="103">
        <f t="shared" ref="B24:K25" si="3">B41</f>
        <v>1.5247221921513121</v>
      </c>
      <c r="C24" s="103">
        <f t="shared" si="3"/>
        <v>1.5940277463400081</v>
      </c>
      <c r="D24" s="103">
        <f t="shared" si="3"/>
        <v>1.5940277463400081</v>
      </c>
      <c r="E24" s="103">
        <f t="shared" si="3"/>
        <v>1.5940277463400081</v>
      </c>
      <c r="F24" s="103">
        <f t="shared" si="3"/>
        <v>1.6633333005287041</v>
      </c>
      <c r="G24" s="103">
        <f t="shared" si="3"/>
        <v>1.6633333005287041</v>
      </c>
      <c r="H24" s="103">
        <f t="shared" si="3"/>
        <v>1.6633333005287041</v>
      </c>
      <c r="I24" s="103">
        <f t="shared" si="3"/>
        <v>1.6885796420362447</v>
      </c>
      <c r="J24" s="103">
        <f t="shared" si="3"/>
        <v>1.8011516181719942</v>
      </c>
      <c r="K24" s="103">
        <f t="shared" si="3"/>
        <v>1.8011516181719942</v>
      </c>
      <c r="L24" s="81"/>
    </row>
    <row r="25" spans="1:12">
      <c r="A25" s="98" t="str">
        <f>A42</f>
        <v>BER @ Mkt</v>
      </c>
      <c r="B25" s="103">
        <f t="shared" si="3"/>
        <v>0.59524991749174916</v>
      </c>
      <c r="C25" s="103">
        <f t="shared" si="3"/>
        <v>0.58935635395222696</v>
      </c>
      <c r="D25" s="103">
        <f t="shared" si="3"/>
        <v>0.5835211425269573</v>
      </c>
      <c r="E25" s="103">
        <f t="shared" si="3"/>
        <v>0.57774370547223497</v>
      </c>
      <c r="F25" s="103">
        <f t="shared" si="3"/>
        <v>0.57202347076458904</v>
      </c>
      <c r="G25" s="103">
        <f t="shared" si="3"/>
        <v>0.56635987204414762</v>
      </c>
      <c r="H25" s="103">
        <f t="shared" si="3"/>
        <v>0.56075234855856193</v>
      </c>
      <c r="I25" s="103">
        <f t="shared" si="3"/>
        <v>0.55520034510748706</v>
      </c>
      <c r="J25" s="103">
        <f t="shared" si="3"/>
        <v>0.54970331198761102</v>
      </c>
      <c r="K25" s="103">
        <f t="shared" si="3"/>
        <v>0.54426070493822876</v>
      </c>
      <c r="L25" s="81"/>
    </row>
    <row r="26" spans="1:12">
      <c r="C26" s="104"/>
      <c r="D26" s="104"/>
      <c r="E26" s="104"/>
      <c r="F26" s="104"/>
      <c r="G26" s="104"/>
      <c r="H26" s="104"/>
      <c r="I26" s="104"/>
      <c r="J26" s="104"/>
      <c r="K26" s="104"/>
      <c r="L26" s="87"/>
    </row>
    <row r="27" spans="1:12">
      <c r="C27" s="104"/>
      <c r="D27" s="104"/>
      <c r="E27" s="104"/>
      <c r="F27" s="104"/>
      <c r="G27" s="104"/>
      <c r="H27" s="104"/>
      <c r="I27" s="104"/>
      <c r="J27" s="104"/>
      <c r="K27" s="104"/>
      <c r="L27" s="87"/>
    </row>
    <row r="28" spans="1:12" ht="13.8" thickBot="1">
      <c r="C28" s="105"/>
    </row>
    <row r="29" spans="1:12">
      <c r="A29" s="106" t="s">
        <v>134</v>
      </c>
      <c r="B29" s="107">
        <v>1</v>
      </c>
      <c r="C29" s="107">
        <v>2</v>
      </c>
      <c r="D29" s="107">
        <v>3</v>
      </c>
      <c r="E29" s="107">
        <v>4</v>
      </c>
      <c r="F29" s="107">
        <v>5</v>
      </c>
      <c r="G29" s="107">
        <v>6</v>
      </c>
      <c r="H29" s="107">
        <v>7</v>
      </c>
      <c r="I29" s="107">
        <v>8</v>
      </c>
      <c r="J29" s="107">
        <v>9</v>
      </c>
      <c r="K29" s="108">
        <v>10</v>
      </c>
      <c r="L29" s="109" t="s">
        <v>135</v>
      </c>
    </row>
    <row r="30" spans="1:12">
      <c r="A30" s="110" t="s">
        <v>147</v>
      </c>
      <c r="B30" s="111">
        <f>(1+$B$5)*$B$4</f>
        <v>12.120000000000001</v>
      </c>
      <c r="C30" s="111">
        <f t="shared" ref="C30:L30" si="4">(1+$B$5)*B30</f>
        <v>12.241200000000001</v>
      </c>
      <c r="D30" s="111">
        <f t="shared" si="4"/>
        <v>12.363612000000002</v>
      </c>
      <c r="E30" s="111">
        <f t="shared" si="4"/>
        <v>12.487248120000002</v>
      </c>
      <c r="F30" s="111">
        <f t="shared" si="4"/>
        <v>12.612120601200003</v>
      </c>
      <c r="G30" s="111">
        <f t="shared" si="4"/>
        <v>12.738241807212002</v>
      </c>
      <c r="H30" s="111">
        <f t="shared" si="4"/>
        <v>12.865624225284122</v>
      </c>
      <c r="I30" s="111">
        <f t="shared" si="4"/>
        <v>12.994280467536964</v>
      </c>
      <c r="J30" s="111">
        <f t="shared" si="4"/>
        <v>13.124223272212333</v>
      </c>
      <c r="K30" s="112">
        <f t="shared" si="4"/>
        <v>13.255465504934456</v>
      </c>
      <c r="L30" s="111">
        <f t="shared" si="4"/>
        <v>13.388020159983801</v>
      </c>
    </row>
    <row r="31" spans="1:12">
      <c r="A31" s="110" t="s">
        <v>148</v>
      </c>
      <c r="B31" s="111">
        <f>B13</f>
        <v>11</v>
      </c>
      <c r="C31" s="111">
        <f>B31+0.5</f>
        <v>11.5</v>
      </c>
      <c r="D31" s="111">
        <f>C31</f>
        <v>11.5</v>
      </c>
      <c r="E31" s="111">
        <f>D31</f>
        <v>11.5</v>
      </c>
      <c r="F31" s="111">
        <f>E31+0.5</f>
        <v>12</v>
      </c>
      <c r="G31" s="111">
        <f>F31</f>
        <v>12</v>
      </c>
      <c r="H31" s="111">
        <f>G31</f>
        <v>12</v>
      </c>
      <c r="I31" s="111">
        <f>I30</f>
        <v>12.994280467536964</v>
      </c>
      <c r="J31" s="111">
        <f>I31</f>
        <v>12.994280467536964</v>
      </c>
      <c r="K31" s="112">
        <f>J31</f>
        <v>12.994280467536964</v>
      </c>
      <c r="L31" s="111">
        <f>K31</f>
        <v>12.994280467536964</v>
      </c>
    </row>
    <row r="32" spans="1:12">
      <c r="A32" s="110" t="s">
        <v>138</v>
      </c>
      <c r="B32" s="111">
        <v>0</v>
      </c>
      <c r="C32" s="111">
        <v>0</v>
      </c>
      <c r="D32" s="111">
        <v>0</v>
      </c>
      <c r="E32" s="111">
        <v>0</v>
      </c>
      <c r="F32" s="111">
        <v>0</v>
      </c>
      <c r="G32" s="111">
        <v>0</v>
      </c>
      <c r="H32" s="111">
        <v>0</v>
      </c>
      <c r="I32" s="111">
        <f>($B$7/12)*$C$7*I31</f>
        <v>0.81214252922106023</v>
      </c>
      <c r="J32" s="111">
        <v>0</v>
      </c>
      <c r="K32" s="112">
        <v>0</v>
      </c>
      <c r="L32" s="111">
        <v>0</v>
      </c>
    </row>
    <row r="33" spans="1:12">
      <c r="A33" s="110" t="s">
        <v>140</v>
      </c>
      <c r="B33" s="111">
        <f t="shared" ref="B33:L33" si="5">B31-B32</f>
        <v>11</v>
      </c>
      <c r="C33" s="111">
        <f t="shared" si="5"/>
        <v>11.5</v>
      </c>
      <c r="D33" s="111">
        <f t="shared" si="5"/>
        <v>11.5</v>
      </c>
      <c r="E33" s="111">
        <f t="shared" si="5"/>
        <v>11.5</v>
      </c>
      <c r="F33" s="111">
        <f t="shared" si="5"/>
        <v>12</v>
      </c>
      <c r="G33" s="111">
        <f t="shared" si="5"/>
        <v>12</v>
      </c>
      <c r="H33" s="111">
        <f t="shared" si="5"/>
        <v>12</v>
      </c>
      <c r="I33" s="111">
        <f t="shared" si="5"/>
        <v>12.182137938315904</v>
      </c>
      <c r="J33" s="111">
        <f t="shared" si="5"/>
        <v>12.994280467536964</v>
      </c>
      <c r="K33" s="112">
        <f t="shared" si="5"/>
        <v>12.994280467536964</v>
      </c>
      <c r="L33" s="111">
        <f t="shared" si="5"/>
        <v>12.994280467536964</v>
      </c>
    </row>
    <row r="34" spans="1:12">
      <c r="A34" s="110" t="s">
        <v>141</v>
      </c>
      <c r="B34" s="111"/>
      <c r="C34" s="111"/>
      <c r="D34" s="111"/>
      <c r="E34" s="111"/>
      <c r="F34" s="111"/>
      <c r="G34" s="111"/>
      <c r="H34" s="111"/>
      <c r="I34" s="111">
        <f>-($C7*C9+(1-$C7)*B9)</f>
        <v>-2.75</v>
      </c>
      <c r="J34" s="111"/>
      <c r="K34" s="112"/>
      <c r="L34" s="113"/>
    </row>
    <row r="35" spans="1:12">
      <c r="A35" s="110" t="s">
        <v>142</v>
      </c>
      <c r="B35" s="111"/>
      <c r="C35" s="111"/>
      <c r="D35" s="111"/>
      <c r="E35" s="111"/>
      <c r="F35" s="111"/>
      <c r="G35" s="111"/>
      <c r="H35" s="111"/>
      <c r="I35" s="111">
        <f>-($C7*C10+(1-$C7)*B10)</f>
        <v>-12.5</v>
      </c>
      <c r="J35" s="111"/>
      <c r="K35" s="112"/>
      <c r="L35" s="113"/>
    </row>
    <row r="36" spans="1:12">
      <c r="A36" s="110" t="s">
        <v>149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2">
        <f>L33/B6</f>
        <v>129.94280467536962</v>
      </c>
      <c r="L36" s="113"/>
    </row>
    <row r="37" spans="1:12">
      <c r="A37" s="110" t="s">
        <v>144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2">
        <f>PV(D6/12,(D5-10)*12,B39/12)</f>
        <v>91.67</v>
      </c>
      <c r="L37" s="113"/>
    </row>
    <row r="38" spans="1:12">
      <c r="A38" s="110" t="s">
        <v>145</v>
      </c>
      <c r="B38" s="111">
        <f t="shared" ref="B38:K38" si="6">B33+B34+B35+B36</f>
        <v>11</v>
      </c>
      <c r="C38" s="111">
        <f t="shared" si="6"/>
        <v>11.5</v>
      </c>
      <c r="D38" s="111">
        <f t="shared" si="6"/>
        <v>11.5</v>
      </c>
      <c r="E38" s="111">
        <f t="shared" si="6"/>
        <v>11.5</v>
      </c>
      <c r="F38" s="111">
        <f t="shared" si="6"/>
        <v>12</v>
      </c>
      <c r="G38" s="111">
        <f t="shared" si="6"/>
        <v>12</v>
      </c>
      <c r="H38" s="111">
        <f t="shared" si="6"/>
        <v>12</v>
      </c>
      <c r="I38" s="111">
        <f t="shared" si="6"/>
        <v>-3.0678620616840959</v>
      </c>
      <c r="J38" s="111">
        <f t="shared" si="6"/>
        <v>12.994280467536964</v>
      </c>
      <c r="K38" s="112">
        <f t="shared" si="6"/>
        <v>142.93708514290657</v>
      </c>
      <c r="L38" s="113"/>
    </row>
    <row r="39" spans="1:12">
      <c r="A39" s="110" t="s">
        <v>146</v>
      </c>
      <c r="B39" s="111">
        <f>PMT(D6/12,D5*12,D4)*12</f>
        <v>-7.2144290000000009</v>
      </c>
      <c r="C39" s="111">
        <f t="shared" ref="C39:J39" si="7">B39</f>
        <v>-7.2144290000000009</v>
      </c>
      <c r="D39" s="111">
        <f t="shared" si="7"/>
        <v>-7.2144290000000009</v>
      </c>
      <c r="E39" s="111">
        <f t="shared" si="7"/>
        <v>-7.2144290000000009</v>
      </c>
      <c r="F39" s="111">
        <f t="shared" si="7"/>
        <v>-7.2144290000000009</v>
      </c>
      <c r="G39" s="111">
        <f t="shared" si="7"/>
        <v>-7.2144290000000009</v>
      </c>
      <c r="H39" s="111">
        <f t="shared" si="7"/>
        <v>-7.2144290000000009</v>
      </c>
      <c r="I39" s="111">
        <f t="shared" si="7"/>
        <v>-7.2144290000000009</v>
      </c>
      <c r="J39" s="111">
        <f t="shared" si="7"/>
        <v>-7.2144290000000009</v>
      </c>
      <c r="K39" s="112">
        <f>J39-PV(D6/12,(D5-10)*12,B39/12)</f>
        <v>-98.884428999999997</v>
      </c>
      <c r="L39" s="113"/>
    </row>
    <row r="40" spans="1:12" ht="13.8" thickBot="1">
      <c r="A40" s="114" t="s">
        <v>150</v>
      </c>
      <c r="B40" s="115">
        <f t="shared" ref="B40:K40" si="8">B38+B39</f>
        <v>3.7855709999999991</v>
      </c>
      <c r="C40" s="115">
        <f t="shared" si="8"/>
        <v>4.2855709999999991</v>
      </c>
      <c r="D40" s="115">
        <f t="shared" si="8"/>
        <v>4.2855709999999991</v>
      </c>
      <c r="E40" s="115">
        <f t="shared" si="8"/>
        <v>4.2855709999999991</v>
      </c>
      <c r="F40" s="115">
        <f t="shared" si="8"/>
        <v>4.7855709999999991</v>
      </c>
      <c r="G40" s="115">
        <f t="shared" si="8"/>
        <v>4.7855709999999991</v>
      </c>
      <c r="H40" s="115">
        <f t="shared" si="8"/>
        <v>4.7855709999999991</v>
      </c>
      <c r="I40" s="115">
        <f t="shared" si="8"/>
        <v>-10.282291061684097</v>
      </c>
      <c r="J40" s="115">
        <f t="shared" si="8"/>
        <v>5.7798514675369628</v>
      </c>
      <c r="K40" s="116">
        <f t="shared" si="8"/>
        <v>44.052656142906571</v>
      </c>
    </row>
    <row r="41" spans="1:12">
      <c r="A41" s="110" t="s">
        <v>151</v>
      </c>
      <c r="B41" s="117">
        <f t="shared" ref="B41:J41" si="9">-B33/B39</f>
        <v>1.5247221921513121</v>
      </c>
      <c r="C41" s="117">
        <f t="shared" si="9"/>
        <v>1.5940277463400081</v>
      </c>
      <c r="D41" s="117">
        <f t="shared" si="9"/>
        <v>1.5940277463400081</v>
      </c>
      <c r="E41" s="117">
        <f t="shared" si="9"/>
        <v>1.5940277463400081</v>
      </c>
      <c r="F41" s="117">
        <f t="shared" si="9"/>
        <v>1.6633333005287041</v>
      </c>
      <c r="G41" s="117">
        <f t="shared" si="9"/>
        <v>1.6633333005287041</v>
      </c>
      <c r="H41" s="117">
        <f t="shared" si="9"/>
        <v>1.6633333005287041</v>
      </c>
      <c r="I41" s="117">
        <f t="shared" si="9"/>
        <v>1.6885796420362447</v>
      </c>
      <c r="J41" s="117">
        <f t="shared" si="9"/>
        <v>1.8011516181719942</v>
      </c>
      <c r="K41" s="118">
        <f>-SUM(K33:K35)/B39</f>
        <v>1.8011516181719942</v>
      </c>
    </row>
    <row r="42" spans="1:12">
      <c r="A42" s="110" t="s">
        <v>152</v>
      </c>
      <c r="B42" s="117">
        <f t="shared" ref="B42:J42" si="10">-B39/B30</f>
        <v>0.59524991749174916</v>
      </c>
      <c r="C42" s="117">
        <f t="shared" si="10"/>
        <v>0.58935635395222696</v>
      </c>
      <c r="D42" s="117">
        <f t="shared" si="10"/>
        <v>0.5835211425269573</v>
      </c>
      <c r="E42" s="117">
        <f t="shared" si="10"/>
        <v>0.57774370547223497</v>
      </c>
      <c r="F42" s="117">
        <f t="shared" si="10"/>
        <v>0.57202347076458904</v>
      </c>
      <c r="G42" s="117">
        <f t="shared" si="10"/>
        <v>0.56635987204414762</v>
      </c>
      <c r="H42" s="117">
        <f t="shared" si="10"/>
        <v>0.56075234855856193</v>
      </c>
      <c r="I42" s="117">
        <f t="shared" si="10"/>
        <v>0.55520034510748706</v>
      </c>
      <c r="J42" s="117">
        <f t="shared" si="10"/>
        <v>0.54970331198761102</v>
      </c>
      <c r="K42" s="119">
        <f>-B39/K30</f>
        <v>0.54426070493822876</v>
      </c>
    </row>
    <row r="44" spans="1:12">
      <c r="A44" s="113">
        <f>-(F4-D4)</f>
        <v>-30.552222222222227</v>
      </c>
      <c r="B44" s="113">
        <f t="shared" ref="B44:K44" si="11">B40</f>
        <v>3.7855709999999991</v>
      </c>
      <c r="C44" s="113">
        <f t="shared" si="11"/>
        <v>4.2855709999999991</v>
      </c>
      <c r="D44" s="113">
        <f t="shared" si="11"/>
        <v>4.2855709999999991</v>
      </c>
      <c r="E44" s="113">
        <f t="shared" si="11"/>
        <v>4.2855709999999991</v>
      </c>
      <c r="F44" s="113">
        <f t="shared" si="11"/>
        <v>4.7855709999999991</v>
      </c>
      <c r="G44" s="113">
        <f t="shared" si="11"/>
        <v>4.7855709999999991</v>
      </c>
      <c r="H44" s="113">
        <f t="shared" si="11"/>
        <v>4.7855709999999991</v>
      </c>
      <c r="I44" s="113">
        <f t="shared" si="11"/>
        <v>-10.282291061684097</v>
      </c>
      <c r="J44" s="113">
        <f t="shared" si="11"/>
        <v>5.7798514675369628</v>
      </c>
      <c r="K44" s="113">
        <f t="shared" si="11"/>
        <v>44.052656142906571</v>
      </c>
    </row>
  </sheetData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T372"/>
  <sheetViews>
    <sheetView workbookViewId="0"/>
  </sheetViews>
  <sheetFormatPr defaultColWidth="8.6640625" defaultRowHeight="11.1" customHeight="1"/>
  <cols>
    <col min="1" max="1" width="8.6640625" style="59"/>
    <col min="2" max="2" width="12.5546875" style="59" bestFit="1" customWidth="1"/>
    <col min="3" max="3" width="10.44140625" style="59" customWidth="1"/>
    <col min="4" max="5" width="8.6640625" style="59"/>
    <col min="6" max="6" width="10" style="59" bestFit="1" customWidth="1"/>
    <col min="7" max="257" width="8.6640625" style="59"/>
    <col min="258" max="258" width="12.5546875" style="59" bestFit="1" customWidth="1"/>
    <col min="259" max="259" width="10.44140625" style="59" customWidth="1"/>
    <col min="260" max="261" width="8.6640625" style="59"/>
    <col min="262" max="262" width="10" style="59" bestFit="1" customWidth="1"/>
    <col min="263" max="513" width="8.6640625" style="59"/>
    <col min="514" max="514" width="12.5546875" style="59" bestFit="1" customWidth="1"/>
    <col min="515" max="515" width="10.44140625" style="59" customWidth="1"/>
    <col min="516" max="517" width="8.6640625" style="59"/>
    <col min="518" max="518" width="10" style="59" bestFit="1" customWidth="1"/>
    <col min="519" max="769" width="8.6640625" style="59"/>
    <col min="770" max="770" width="12.5546875" style="59" bestFit="1" customWidth="1"/>
    <col min="771" max="771" width="10.44140625" style="59" customWidth="1"/>
    <col min="772" max="773" width="8.6640625" style="59"/>
    <col min="774" max="774" width="10" style="59" bestFit="1" customWidth="1"/>
    <col min="775" max="1025" width="8.6640625" style="59"/>
    <col min="1026" max="1026" width="12.5546875" style="59" bestFit="1" customWidth="1"/>
    <col min="1027" max="1027" width="10.44140625" style="59" customWidth="1"/>
    <col min="1028" max="1029" width="8.6640625" style="59"/>
    <col min="1030" max="1030" width="10" style="59" bestFit="1" customWidth="1"/>
    <col min="1031" max="1281" width="8.6640625" style="59"/>
    <col min="1282" max="1282" width="12.5546875" style="59" bestFit="1" customWidth="1"/>
    <col min="1283" max="1283" width="10.44140625" style="59" customWidth="1"/>
    <col min="1284" max="1285" width="8.6640625" style="59"/>
    <col min="1286" max="1286" width="10" style="59" bestFit="1" customWidth="1"/>
    <col min="1287" max="1537" width="8.6640625" style="59"/>
    <col min="1538" max="1538" width="12.5546875" style="59" bestFit="1" customWidth="1"/>
    <col min="1539" max="1539" width="10.44140625" style="59" customWidth="1"/>
    <col min="1540" max="1541" width="8.6640625" style="59"/>
    <col min="1542" max="1542" width="10" style="59" bestFit="1" customWidth="1"/>
    <col min="1543" max="1793" width="8.6640625" style="59"/>
    <col min="1794" max="1794" width="12.5546875" style="59" bestFit="1" customWidth="1"/>
    <col min="1795" max="1795" width="10.44140625" style="59" customWidth="1"/>
    <col min="1796" max="1797" width="8.6640625" style="59"/>
    <col min="1798" max="1798" width="10" style="59" bestFit="1" customWidth="1"/>
    <col min="1799" max="2049" width="8.6640625" style="59"/>
    <col min="2050" max="2050" width="12.5546875" style="59" bestFit="1" customWidth="1"/>
    <col min="2051" max="2051" width="10.44140625" style="59" customWidth="1"/>
    <col min="2052" max="2053" width="8.6640625" style="59"/>
    <col min="2054" max="2054" width="10" style="59" bestFit="1" customWidth="1"/>
    <col min="2055" max="2305" width="8.6640625" style="59"/>
    <col min="2306" max="2306" width="12.5546875" style="59" bestFit="1" customWidth="1"/>
    <col min="2307" max="2307" width="10.44140625" style="59" customWidth="1"/>
    <col min="2308" max="2309" width="8.6640625" style="59"/>
    <col min="2310" max="2310" width="10" style="59" bestFit="1" customWidth="1"/>
    <col min="2311" max="2561" width="8.6640625" style="59"/>
    <col min="2562" max="2562" width="12.5546875" style="59" bestFit="1" customWidth="1"/>
    <col min="2563" max="2563" width="10.44140625" style="59" customWidth="1"/>
    <col min="2564" max="2565" width="8.6640625" style="59"/>
    <col min="2566" max="2566" width="10" style="59" bestFit="1" customWidth="1"/>
    <col min="2567" max="2817" width="8.6640625" style="59"/>
    <col min="2818" max="2818" width="12.5546875" style="59" bestFit="1" customWidth="1"/>
    <col min="2819" max="2819" width="10.44140625" style="59" customWidth="1"/>
    <col min="2820" max="2821" width="8.6640625" style="59"/>
    <col min="2822" max="2822" width="10" style="59" bestFit="1" customWidth="1"/>
    <col min="2823" max="3073" width="8.6640625" style="59"/>
    <col min="3074" max="3074" width="12.5546875" style="59" bestFit="1" customWidth="1"/>
    <col min="3075" max="3075" width="10.44140625" style="59" customWidth="1"/>
    <col min="3076" max="3077" width="8.6640625" style="59"/>
    <col min="3078" max="3078" width="10" style="59" bestFit="1" customWidth="1"/>
    <col min="3079" max="3329" width="8.6640625" style="59"/>
    <col min="3330" max="3330" width="12.5546875" style="59" bestFit="1" customWidth="1"/>
    <col min="3331" max="3331" width="10.44140625" style="59" customWidth="1"/>
    <col min="3332" max="3333" width="8.6640625" style="59"/>
    <col min="3334" max="3334" width="10" style="59" bestFit="1" customWidth="1"/>
    <col min="3335" max="3585" width="8.6640625" style="59"/>
    <col min="3586" max="3586" width="12.5546875" style="59" bestFit="1" customWidth="1"/>
    <col min="3587" max="3587" width="10.44140625" style="59" customWidth="1"/>
    <col min="3588" max="3589" width="8.6640625" style="59"/>
    <col min="3590" max="3590" width="10" style="59" bestFit="1" customWidth="1"/>
    <col min="3591" max="3841" width="8.6640625" style="59"/>
    <col min="3842" max="3842" width="12.5546875" style="59" bestFit="1" customWidth="1"/>
    <col min="3843" max="3843" width="10.44140625" style="59" customWidth="1"/>
    <col min="3844" max="3845" width="8.6640625" style="59"/>
    <col min="3846" max="3846" width="10" style="59" bestFit="1" customWidth="1"/>
    <col min="3847" max="4097" width="8.6640625" style="59"/>
    <col min="4098" max="4098" width="12.5546875" style="59" bestFit="1" customWidth="1"/>
    <col min="4099" max="4099" width="10.44140625" style="59" customWidth="1"/>
    <col min="4100" max="4101" width="8.6640625" style="59"/>
    <col min="4102" max="4102" width="10" style="59" bestFit="1" customWidth="1"/>
    <col min="4103" max="4353" width="8.6640625" style="59"/>
    <col min="4354" max="4354" width="12.5546875" style="59" bestFit="1" customWidth="1"/>
    <col min="4355" max="4355" width="10.44140625" style="59" customWidth="1"/>
    <col min="4356" max="4357" width="8.6640625" style="59"/>
    <col min="4358" max="4358" width="10" style="59" bestFit="1" customWidth="1"/>
    <col min="4359" max="4609" width="8.6640625" style="59"/>
    <col min="4610" max="4610" width="12.5546875" style="59" bestFit="1" customWidth="1"/>
    <col min="4611" max="4611" width="10.44140625" style="59" customWidth="1"/>
    <col min="4612" max="4613" width="8.6640625" style="59"/>
    <col min="4614" max="4614" width="10" style="59" bestFit="1" customWidth="1"/>
    <col min="4615" max="4865" width="8.6640625" style="59"/>
    <col min="4866" max="4866" width="12.5546875" style="59" bestFit="1" customWidth="1"/>
    <col min="4867" max="4867" width="10.44140625" style="59" customWidth="1"/>
    <col min="4868" max="4869" width="8.6640625" style="59"/>
    <col min="4870" max="4870" width="10" style="59" bestFit="1" customWidth="1"/>
    <col min="4871" max="5121" width="8.6640625" style="59"/>
    <col min="5122" max="5122" width="12.5546875" style="59" bestFit="1" customWidth="1"/>
    <col min="5123" max="5123" width="10.44140625" style="59" customWidth="1"/>
    <col min="5124" max="5125" width="8.6640625" style="59"/>
    <col min="5126" max="5126" width="10" style="59" bestFit="1" customWidth="1"/>
    <col min="5127" max="5377" width="8.6640625" style="59"/>
    <col min="5378" max="5378" width="12.5546875" style="59" bestFit="1" customWidth="1"/>
    <col min="5379" max="5379" width="10.44140625" style="59" customWidth="1"/>
    <col min="5380" max="5381" width="8.6640625" style="59"/>
    <col min="5382" max="5382" width="10" style="59" bestFit="1" customWidth="1"/>
    <col min="5383" max="5633" width="8.6640625" style="59"/>
    <col min="5634" max="5634" width="12.5546875" style="59" bestFit="1" customWidth="1"/>
    <col min="5635" max="5635" width="10.44140625" style="59" customWidth="1"/>
    <col min="5636" max="5637" width="8.6640625" style="59"/>
    <col min="5638" max="5638" width="10" style="59" bestFit="1" customWidth="1"/>
    <col min="5639" max="5889" width="8.6640625" style="59"/>
    <col min="5890" max="5890" width="12.5546875" style="59" bestFit="1" customWidth="1"/>
    <col min="5891" max="5891" width="10.44140625" style="59" customWidth="1"/>
    <col min="5892" max="5893" width="8.6640625" style="59"/>
    <col min="5894" max="5894" width="10" style="59" bestFit="1" customWidth="1"/>
    <col min="5895" max="6145" width="8.6640625" style="59"/>
    <col min="6146" max="6146" width="12.5546875" style="59" bestFit="1" customWidth="1"/>
    <col min="6147" max="6147" width="10.44140625" style="59" customWidth="1"/>
    <col min="6148" max="6149" width="8.6640625" style="59"/>
    <col min="6150" max="6150" width="10" style="59" bestFit="1" customWidth="1"/>
    <col min="6151" max="6401" width="8.6640625" style="59"/>
    <col min="6402" max="6402" width="12.5546875" style="59" bestFit="1" customWidth="1"/>
    <col min="6403" max="6403" width="10.44140625" style="59" customWidth="1"/>
    <col min="6404" max="6405" width="8.6640625" style="59"/>
    <col min="6406" max="6406" width="10" style="59" bestFit="1" customWidth="1"/>
    <col min="6407" max="6657" width="8.6640625" style="59"/>
    <col min="6658" max="6658" width="12.5546875" style="59" bestFit="1" customWidth="1"/>
    <col min="6659" max="6659" width="10.44140625" style="59" customWidth="1"/>
    <col min="6660" max="6661" width="8.6640625" style="59"/>
    <col min="6662" max="6662" width="10" style="59" bestFit="1" customWidth="1"/>
    <col min="6663" max="6913" width="8.6640625" style="59"/>
    <col min="6914" max="6914" width="12.5546875" style="59" bestFit="1" customWidth="1"/>
    <col min="6915" max="6915" width="10.44140625" style="59" customWidth="1"/>
    <col min="6916" max="6917" width="8.6640625" style="59"/>
    <col min="6918" max="6918" width="10" style="59" bestFit="1" customWidth="1"/>
    <col min="6919" max="7169" width="8.6640625" style="59"/>
    <col min="7170" max="7170" width="12.5546875" style="59" bestFit="1" customWidth="1"/>
    <col min="7171" max="7171" width="10.44140625" style="59" customWidth="1"/>
    <col min="7172" max="7173" width="8.6640625" style="59"/>
    <col min="7174" max="7174" width="10" style="59" bestFit="1" customWidth="1"/>
    <col min="7175" max="7425" width="8.6640625" style="59"/>
    <col min="7426" max="7426" width="12.5546875" style="59" bestFit="1" customWidth="1"/>
    <col min="7427" max="7427" width="10.44140625" style="59" customWidth="1"/>
    <col min="7428" max="7429" width="8.6640625" style="59"/>
    <col min="7430" max="7430" width="10" style="59" bestFit="1" customWidth="1"/>
    <col min="7431" max="7681" width="8.6640625" style="59"/>
    <col min="7682" max="7682" width="12.5546875" style="59" bestFit="1" customWidth="1"/>
    <col min="7683" max="7683" width="10.44140625" style="59" customWidth="1"/>
    <col min="7684" max="7685" width="8.6640625" style="59"/>
    <col min="7686" max="7686" width="10" style="59" bestFit="1" customWidth="1"/>
    <col min="7687" max="7937" width="8.6640625" style="59"/>
    <col min="7938" max="7938" width="12.5546875" style="59" bestFit="1" customWidth="1"/>
    <col min="7939" max="7939" width="10.44140625" style="59" customWidth="1"/>
    <col min="7940" max="7941" width="8.6640625" style="59"/>
    <col min="7942" max="7942" width="10" style="59" bestFit="1" customWidth="1"/>
    <col min="7943" max="8193" width="8.6640625" style="59"/>
    <col min="8194" max="8194" width="12.5546875" style="59" bestFit="1" customWidth="1"/>
    <col min="8195" max="8195" width="10.44140625" style="59" customWidth="1"/>
    <col min="8196" max="8197" width="8.6640625" style="59"/>
    <col min="8198" max="8198" width="10" style="59" bestFit="1" customWidth="1"/>
    <col min="8199" max="8449" width="8.6640625" style="59"/>
    <col min="8450" max="8450" width="12.5546875" style="59" bestFit="1" customWidth="1"/>
    <col min="8451" max="8451" width="10.44140625" style="59" customWidth="1"/>
    <col min="8452" max="8453" width="8.6640625" style="59"/>
    <col min="8454" max="8454" width="10" style="59" bestFit="1" customWidth="1"/>
    <col min="8455" max="8705" width="8.6640625" style="59"/>
    <col min="8706" max="8706" width="12.5546875" style="59" bestFit="1" customWidth="1"/>
    <col min="8707" max="8707" width="10.44140625" style="59" customWidth="1"/>
    <col min="8708" max="8709" width="8.6640625" style="59"/>
    <col min="8710" max="8710" width="10" style="59" bestFit="1" customWidth="1"/>
    <col min="8711" max="8961" width="8.6640625" style="59"/>
    <col min="8962" max="8962" width="12.5546875" style="59" bestFit="1" customWidth="1"/>
    <col min="8963" max="8963" width="10.44140625" style="59" customWidth="1"/>
    <col min="8964" max="8965" width="8.6640625" style="59"/>
    <col min="8966" max="8966" width="10" style="59" bestFit="1" customWidth="1"/>
    <col min="8967" max="9217" width="8.6640625" style="59"/>
    <col min="9218" max="9218" width="12.5546875" style="59" bestFit="1" customWidth="1"/>
    <col min="9219" max="9219" width="10.44140625" style="59" customWidth="1"/>
    <col min="9220" max="9221" width="8.6640625" style="59"/>
    <col min="9222" max="9222" width="10" style="59" bestFit="1" customWidth="1"/>
    <col min="9223" max="9473" width="8.6640625" style="59"/>
    <col min="9474" max="9474" width="12.5546875" style="59" bestFit="1" customWidth="1"/>
    <col min="9475" max="9475" width="10.44140625" style="59" customWidth="1"/>
    <col min="9476" max="9477" width="8.6640625" style="59"/>
    <col min="9478" max="9478" width="10" style="59" bestFit="1" customWidth="1"/>
    <col min="9479" max="9729" width="8.6640625" style="59"/>
    <col min="9730" max="9730" width="12.5546875" style="59" bestFit="1" customWidth="1"/>
    <col min="9731" max="9731" width="10.44140625" style="59" customWidth="1"/>
    <col min="9732" max="9733" width="8.6640625" style="59"/>
    <col min="9734" max="9734" width="10" style="59" bestFit="1" customWidth="1"/>
    <col min="9735" max="9985" width="8.6640625" style="59"/>
    <col min="9986" max="9986" width="12.5546875" style="59" bestFit="1" customWidth="1"/>
    <col min="9987" max="9987" width="10.44140625" style="59" customWidth="1"/>
    <col min="9988" max="9989" width="8.6640625" style="59"/>
    <col min="9990" max="9990" width="10" style="59" bestFit="1" customWidth="1"/>
    <col min="9991" max="10241" width="8.6640625" style="59"/>
    <col min="10242" max="10242" width="12.5546875" style="59" bestFit="1" customWidth="1"/>
    <col min="10243" max="10243" width="10.44140625" style="59" customWidth="1"/>
    <col min="10244" max="10245" width="8.6640625" style="59"/>
    <col min="10246" max="10246" width="10" style="59" bestFit="1" customWidth="1"/>
    <col min="10247" max="10497" width="8.6640625" style="59"/>
    <col min="10498" max="10498" width="12.5546875" style="59" bestFit="1" customWidth="1"/>
    <col min="10499" max="10499" width="10.44140625" style="59" customWidth="1"/>
    <col min="10500" max="10501" width="8.6640625" style="59"/>
    <col min="10502" max="10502" width="10" style="59" bestFit="1" customWidth="1"/>
    <col min="10503" max="10753" width="8.6640625" style="59"/>
    <col min="10754" max="10754" width="12.5546875" style="59" bestFit="1" customWidth="1"/>
    <col min="10755" max="10755" width="10.44140625" style="59" customWidth="1"/>
    <col min="10756" max="10757" width="8.6640625" style="59"/>
    <col min="10758" max="10758" width="10" style="59" bestFit="1" customWidth="1"/>
    <col min="10759" max="11009" width="8.6640625" style="59"/>
    <col min="11010" max="11010" width="12.5546875" style="59" bestFit="1" customWidth="1"/>
    <col min="11011" max="11011" width="10.44140625" style="59" customWidth="1"/>
    <col min="11012" max="11013" width="8.6640625" style="59"/>
    <col min="11014" max="11014" width="10" style="59" bestFit="1" customWidth="1"/>
    <col min="11015" max="11265" width="8.6640625" style="59"/>
    <col min="11266" max="11266" width="12.5546875" style="59" bestFit="1" customWidth="1"/>
    <col min="11267" max="11267" width="10.44140625" style="59" customWidth="1"/>
    <col min="11268" max="11269" width="8.6640625" style="59"/>
    <col min="11270" max="11270" width="10" style="59" bestFit="1" customWidth="1"/>
    <col min="11271" max="11521" width="8.6640625" style="59"/>
    <col min="11522" max="11522" width="12.5546875" style="59" bestFit="1" customWidth="1"/>
    <col min="11523" max="11523" width="10.44140625" style="59" customWidth="1"/>
    <col min="11524" max="11525" width="8.6640625" style="59"/>
    <col min="11526" max="11526" width="10" style="59" bestFit="1" customWidth="1"/>
    <col min="11527" max="11777" width="8.6640625" style="59"/>
    <col min="11778" max="11778" width="12.5546875" style="59" bestFit="1" customWidth="1"/>
    <col min="11779" max="11779" width="10.44140625" style="59" customWidth="1"/>
    <col min="11780" max="11781" width="8.6640625" style="59"/>
    <col min="11782" max="11782" width="10" style="59" bestFit="1" customWidth="1"/>
    <col min="11783" max="12033" width="8.6640625" style="59"/>
    <col min="12034" max="12034" width="12.5546875" style="59" bestFit="1" customWidth="1"/>
    <col min="12035" max="12035" width="10.44140625" style="59" customWidth="1"/>
    <col min="12036" max="12037" width="8.6640625" style="59"/>
    <col min="12038" max="12038" width="10" style="59" bestFit="1" customWidth="1"/>
    <col min="12039" max="12289" width="8.6640625" style="59"/>
    <col min="12290" max="12290" width="12.5546875" style="59" bestFit="1" customWidth="1"/>
    <col min="12291" max="12291" width="10.44140625" style="59" customWidth="1"/>
    <col min="12292" max="12293" width="8.6640625" style="59"/>
    <col min="12294" max="12294" width="10" style="59" bestFit="1" customWidth="1"/>
    <col min="12295" max="12545" width="8.6640625" style="59"/>
    <col min="12546" max="12546" width="12.5546875" style="59" bestFit="1" customWidth="1"/>
    <col min="12547" max="12547" width="10.44140625" style="59" customWidth="1"/>
    <col min="12548" max="12549" width="8.6640625" style="59"/>
    <col min="12550" max="12550" width="10" style="59" bestFit="1" customWidth="1"/>
    <col min="12551" max="12801" width="8.6640625" style="59"/>
    <col min="12802" max="12802" width="12.5546875" style="59" bestFit="1" customWidth="1"/>
    <col min="12803" max="12803" width="10.44140625" style="59" customWidth="1"/>
    <col min="12804" max="12805" width="8.6640625" style="59"/>
    <col min="12806" max="12806" width="10" style="59" bestFit="1" customWidth="1"/>
    <col min="12807" max="13057" width="8.6640625" style="59"/>
    <col min="13058" max="13058" width="12.5546875" style="59" bestFit="1" customWidth="1"/>
    <col min="13059" max="13059" width="10.44140625" style="59" customWidth="1"/>
    <col min="13060" max="13061" width="8.6640625" style="59"/>
    <col min="13062" max="13062" width="10" style="59" bestFit="1" customWidth="1"/>
    <col min="13063" max="13313" width="8.6640625" style="59"/>
    <col min="13314" max="13314" width="12.5546875" style="59" bestFit="1" customWidth="1"/>
    <col min="13315" max="13315" width="10.44140625" style="59" customWidth="1"/>
    <col min="13316" max="13317" width="8.6640625" style="59"/>
    <col min="13318" max="13318" width="10" style="59" bestFit="1" customWidth="1"/>
    <col min="13319" max="13569" width="8.6640625" style="59"/>
    <col min="13570" max="13570" width="12.5546875" style="59" bestFit="1" customWidth="1"/>
    <col min="13571" max="13571" width="10.44140625" style="59" customWidth="1"/>
    <col min="13572" max="13573" width="8.6640625" style="59"/>
    <col min="13574" max="13574" width="10" style="59" bestFit="1" customWidth="1"/>
    <col min="13575" max="13825" width="8.6640625" style="59"/>
    <col min="13826" max="13826" width="12.5546875" style="59" bestFit="1" customWidth="1"/>
    <col min="13827" max="13827" width="10.44140625" style="59" customWidth="1"/>
    <col min="13828" max="13829" width="8.6640625" style="59"/>
    <col min="13830" max="13830" width="10" style="59" bestFit="1" customWidth="1"/>
    <col min="13831" max="14081" width="8.6640625" style="59"/>
    <col min="14082" max="14082" width="12.5546875" style="59" bestFit="1" customWidth="1"/>
    <col min="14083" max="14083" width="10.44140625" style="59" customWidth="1"/>
    <col min="14084" max="14085" width="8.6640625" style="59"/>
    <col min="14086" max="14086" width="10" style="59" bestFit="1" customWidth="1"/>
    <col min="14087" max="14337" width="8.6640625" style="59"/>
    <col min="14338" max="14338" width="12.5546875" style="59" bestFit="1" customWidth="1"/>
    <col min="14339" max="14339" width="10.44140625" style="59" customWidth="1"/>
    <col min="14340" max="14341" width="8.6640625" style="59"/>
    <col min="14342" max="14342" width="10" style="59" bestFit="1" customWidth="1"/>
    <col min="14343" max="14593" width="8.6640625" style="59"/>
    <col min="14594" max="14594" width="12.5546875" style="59" bestFit="1" customWidth="1"/>
    <col min="14595" max="14595" width="10.44140625" style="59" customWidth="1"/>
    <col min="14596" max="14597" width="8.6640625" style="59"/>
    <col min="14598" max="14598" width="10" style="59" bestFit="1" customWidth="1"/>
    <col min="14599" max="14849" width="8.6640625" style="59"/>
    <col min="14850" max="14850" width="12.5546875" style="59" bestFit="1" customWidth="1"/>
    <col min="14851" max="14851" width="10.44140625" style="59" customWidth="1"/>
    <col min="14852" max="14853" width="8.6640625" style="59"/>
    <col min="14854" max="14854" width="10" style="59" bestFit="1" customWidth="1"/>
    <col min="14855" max="15105" width="8.6640625" style="59"/>
    <col min="15106" max="15106" width="12.5546875" style="59" bestFit="1" customWidth="1"/>
    <col min="15107" max="15107" width="10.44140625" style="59" customWidth="1"/>
    <col min="15108" max="15109" width="8.6640625" style="59"/>
    <col min="15110" max="15110" width="10" style="59" bestFit="1" customWidth="1"/>
    <col min="15111" max="15361" width="8.6640625" style="59"/>
    <col min="15362" max="15362" width="12.5546875" style="59" bestFit="1" customWidth="1"/>
    <col min="15363" max="15363" width="10.44140625" style="59" customWidth="1"/>
    <col min="15364" max="15365" width="8.6640625" style="59"/>
    <col min="15366" max="15366" width="10" style="59" bestFit="1" customWidth="1"/>
    <col min="15367" max="15617" width="8.6640625" style="59"/>
    <col min="15618" max="15618" width="12.5546875" style="59" bestFit="1" customWidth="1"/>
    <col min="15619" max="15619" width="10.44140625" style="59" customWidth="1"/>
    <col min="15620" max="15621" width="8.6640625" style="59"/>
    <col min="15622" max="15622" width="10" style="59" bestFit="1" customWidth="1"/>
    <col min="15623" max="15873" width="8.6640625" style="59"/>
    <col min="15874" max="15874" width="12.5546875" style="59" bestFit="1" customWidth="1"/>
    <col min="15875" max="15875" width="10.44140625" style="59" customWidth="1"/>
    <col min="15876" max="15877" width="8.6640625" style="59"/>
    <col min="15878" max="15878" width="10" style="59" bestFit="1" customWidth="1"/>
    <col min="15879" max="16129" width="8.6640625" style="59"/>
    <col min="16130" max="16130" width="12.5546875" style="59" bestFit="1" customWidth="1"/>
    <col min="16131" max="16131" width="10.44140625" style="59" customWidth="1"/>
    <col min="16132" max="16133" width="8.6640625" style="59"/>
    <col min="16134" max="16134" width="10" style="59" bestFit="1" customWidth="1"/>
    <col min="16135" max="16384" width="8.6640625" style="59"/>
  </cols>
  <sheetData>
    <row r="1" spans="1:20" ht="11.1" customHeight="1">
      <c r="A1" s="59" t="s">
        <v>156</v>
      </c>
    </row>
    <row r="2" spans="1:20" ht="11.1" customHeight="1">
      <c r="A2" s="60"/>
    </row>
    <row r="3" spans="1:20" ht="11.1" customHeight="1">
      <c r="A3" s="60"/>
    </row>
    <row r="4" spans="1:20" ht="11.1" customHeight="1">
      <c r="B4" s="61"/>
      <c r="F4" s="60"/>
      <c r="L4" s="62"/>
      <c r="M4" s="62"/>
      <c r="N4" s="62"/>
      <c r="O4" s="62"/>
    </row>
    <row r="5" spans="1:20" ht="11.1" customHeight="1">
      <c r="A5" s="63"/>
      <c r="B5" s="64"/>
      <c r="C5" s="63"/>
      <c r="D5" s="65"/>
      <c r="E5" s="61"/>
      <c r="F5" s="66"/>
      <c r="L5" s="62"/>
      <c r="M5" s="62"/>
      <c r="N5" s="62"/>
      <c r="O5" s="62"/>
    </row>
    <row r="6" spans="1:20" ht="11.1" customHeight="1">
      <c r="A6" s="63"/>
      <c r="B6" s="64"/>
      <c r="C6" s="63"/>
      <c r="D6" s="65"/>
      <c r="E6" s="63"/>
      <c r="F6" s="67"/>
      <c r="G6" s="63"/>
      <c r="L6" s="62"/>
      <c r="M6" s="62"/>
      <c r="N6" s="62"/>
      <c r="O6" s="62"/>
    </row>
    <row r="7" spans="1:20" ht="11.1" customHeight="1">
      <c r="A7" s="61"/>
      <c r="B7" s="65"/>
      <c r="C7" s="63"/>
      <c r="D7" s="64"/>
      <c r="E7" s="63"/>
      <c r="F7" s="67"/>
      <c r="L7" s="62"/>
      <c r="M7" s="62"/>
      <c r="N7" s="62"/>
      <c r="O7" s="62"/>
      <c r="S7" s="68" t="s">
        <v>76</v>
      </c>
      <c r="T7" s="67" t="e">
        <f>IRR(T12:T42,0.1)</f>
        <v>#NUM!</v>
      </c>
    </row>
    <row r="8" spans="1:20" ht="11.1" customHeight="1">
      <c r="A8" s="63"/>
      <c r="B8" s="69"/>
      <c r="C8" s="63"/>
      <c r="D8" s="65"/>
      <c r="L8" s="62"/>
      <c r="M8" s="62"/>
      <c r="N8" s="62"/>
      <c r="O8" s="62"/>
      <c r="S8" s="68" t="s">
        <v>80</v>
      </c>
      <c r="T8" s="67" t="e">
        <f>IRR(S12:S42,0.1)</f>
        <v>#NUM!</v>
      </c>
    </row>
    <row r="9" spans="1:20" ht="11.1" customHeight="1">
      <c r="A9" s="63"/>
      <c r="B9" s="65"/>
      <c r="C9" s="63"/>
      <c r="D9" s="64"/>
      <c r="H9" s="70"/>
      <c r="L9" s="62"/>
      <c r="M9" s="62"/>
      <c r="N9" s="62"/>
      <c r="O9" s="62"/>
    </row>
    <row r="10" spans="1:20" ht="11.1" customHeight="1">
      <c r="A10" s="60"/>
      <c r="L10" s="62"/>
      <c r="M10" s="62"/>
      <c r="N10" s="62"/>
      <c r="O10" s="62"/>
      <c r="S10" s="68" t="s">
        <v>83</v>
      </c>
    </row>
    <row r="11" spans="1:20" ht="11.1" customHeight="1">
      <c r="A11" s="61"/>
      <c r="B11" s="63"/>
      <c r="C11" s="63"/>
      <c r="D11" s="63"/>
      <c r="E11" s="63"/>
      <c r="F11" s="63"/>
      <c r="G11" s="63"/>
      <c r="L11" s="62"/>
      <c r="M11" s="62"/>
      <c r="N11" s="62"/>
      <c r="O11" s="62"/>
      <c r="S11" s="68" t="s">
        <v>85</v>
      </c>
      <c r="T11" s="68" t="s">
        <v>86</v>
      </c>
    </row>
    <row r="12" spans="1:20" ht="11.1" customHeight="1">
      <c r="A12" s="71"/>
      <c r="B12" s="72"/>
      <c r="C12" s="72"/>
      <c r="D12" s="72"/>
      <c r="E12" s="66"/>
      <c r="F12" s="66"/>
      <c r="G12" s="66"/>
      <c r="L12" s="62"/>
      <c r="M12" s="62"/>
      <c r="N12" s="62"/>
      <c r="O12" s="62"/>
      <c r="S12" s="66">
        <f>-(1-(1-$D$8)*$D$5)*$B$6</f>
        <v>0</v>
      </c>
      <c r="T12" s="66">
        <f>-(1-(1-$D$8)*$D$5)*$B$6</f>
        <v>0</v>
      </c>
    </row>
    <row r="13" spans="1:20" ht="11.1" customHeight="1">
      <c r="A13" s="71"/>
      <c r="B13" s="66"/>
      <c r="C13" s="66"/>
      <c r="D13" s="66"/>
      <c r="E13" s="66"/>
      <c r="F13" s="66"/>
      <c r="G13" s="66"/>
      <c r="L13" s="62"/>
      <c r="M13" s="62"/>
      <c r="N13" s="62"/>
      <c r="O13" s="62"/>
      <c r="S13" s="66">
        <f t="shared" ref="S13:S42" si="0">IF($A13&lt;$D$7,$B13-($D$8*$C13),IF($A13&gt;$D$7,0,$B13-($D$8*$C13)+$E13*(1+(1-$D$8)*$D$6)))</f>
        <v>0</v>
      </c>
      <c r="T13" s="66">
        <f t="shared" ref="T13:T42" si="1">IF($A13&lt;$B$5,$B13-($D$8*$C13),IF($A13&gt;$B$5,0,$B13-($D$8*$C13)+$E13*(1+(1-$D$8)*$D$6)))</f>
        <v>0</v>
      </c>
    </row>
    <row r="14" spans="1:20" ht="11.1" customHeight="1">
      <c r="A14" s="71"/>
      <c r="B14" s="66"/>
      <c r="C14" s="66"/>
      <c r="D14" s="66"/>
      <c r="E14" s="66"/>
      <c r="F14" s="66"/>
      <c r="G14" s="66"/>
      <c r="L14" s="62"/>
      <c r="M14" s="62"/>
      <c r="N14" s="62"/>
      <c r="O14" s="62"/>
      <c r="S14" s="66">
        <f t="shared" si="0"/>
        <v>0</v>
      </c>
      <c r="T14" s="66">
        <f t="shared" si="1"/>
        <v>0</v>
      </c>
    </row>
    <row r="15" spans="1:20" ht="11.1" customHeight="1">
      <c r="A15" s="71"/>
      <c r="B15" s="66"/>
      <c r="C15" s="66"/>
      <c r="D15" s="66"/>
      <c r="E15" s="66"/>
      <c r="F15" s="66"/>
      <c r="G15" s="66"/>
      <c r="L15" s="62"/>
      <c r="M15" s="62"/>
      <c r="N15" s="62"/>
      <c r="O15" s="62"/>
      <c r="S15" s="66">
        <f t="shared" si="0"/>
        <v>0</v>
      </c>
      <c r="T15" s="66">
        <f t="shared" si="1"/>
        <v>0</v>
      </c>
    </row>
    <row r="16" spans="1:20" ht="11.1" customHeight="1">
      <c r="A16" s="71"/>
      <c r="B16" s="66"/>
      <c r="C16" s="66"/>
      <c r="D16" s="66"/>
      <c r="E16" s="66"/>
      <c r="F16" s="66"/>
      <c r="G16" s="66"/>
      <c r="L16" s="62"/>
      <c r="M16" s="62"/>
      <c r="N16" s="62"/>
      <c r="O16" s="62"/>
      <c r="S16" s="66">
        <f t="shared" si="0"/>
        <v>0</v>
      </c>
      <c r="T16" s="66">
        <f t="shared" si="1"/>
        <v>0</v>
      </c>
    </row>
    <row r="17" spans="1:20" ht="11.1" customHeight="1">
      <c r="A17" s="71"/>
      <c r="B17" s="66"/>
      <c r="C17" s="66"/>
      <c r="D17" s="66"/>
      <c r="E17" s="66"/>
      <c r="F17" s="66"/>
      <c r="G17" s="66"/>
      <c r="L17" s="62"/>
      <c r="M17" s="62"/>
      <c r="N17" s="62"/>
      <c r="O17" s="62"/>
      <c r="S17" s="66">
        <f t="shared" si="0"/>
        <v>0</v>
      </c>
      <c r="T17" s="66">
        <f t="shared" si="1"/>
        <v>0</v>
      </c>
    </row>
    <row r="18" spans="1:20" ht="11.1" customHeight="1">
      <c r="A18" s="71"/>
      <c r="B18" s="66"/>
      <c r="C18" s="66"/>
      <c r="D18" s="66"/>
      <c r="E18" s="66"/>
      <c r="F18" s="66"/>
      <c r="G18" s="66"/>
      <c r="L18" s="62"/>
      <c r="M18" s="62"/>
      <c r="N18" s="62"/>
      <c r="O18" s="62"/>
      <c r="S18" s="66">
        <f t="shared" si="0"/>
        <v>0</v>
      </c>
      <c r="T18" s="66">
        <f t="shared" si="1"/>
        <v>0</v>
      </c>
    </row>
    <row r="19" spans="1:20" ht="11.1" customHeight="1">
      <c r="A19" s="71"/>
      <c r="B19" s="66"/>
      <c r="C19" s="66"/>
      <c r="D19" s="66"/>
      <c r="E19" s="66"/>
      <c r="F19" s="66"/>
      <c r="G19" s="66"/>
      <c r="L19" s="62"/>
      <c r="M19" s="62"/>
      <c r="N19" s="62"/>
      <c r="O19" s="62"/>
      <c r="S19" s="66">
        <f t="shared" si="0"/>
        <v>0</v>
      </c>
      <c r="T19" s="66">
        <f t="shared" si="1"/>
        <v>0</v>
      </c>
    </row>
    <row r="20" spans="1:20" ht="11.1" customHeight="1">
      <c r="A20" s="71"/>
      <c r="B20" s="66"/>
      <c r="C20" s="66"/>
      <c r="D20" s="66"/>
      <c r="E20" s="66"/>
      <c r="F20" s="66"/>
      <c r="G20" s="66"/>
      <c r="L20" s="62"/>
      <c r="M20" s="62"/>
      <c r="N20" s="62"/>
      <c r="O20" s="62"/>
      <c r="S20" s="66">
        <f t="shared" si="0"/>
        <v>0</v>
      </c>
      <c r="T20" s="66">
        <f t="shared" si="1"/>
        <v>0</v>
      </c>
    </row>
    <row r="21" spans="1:20" ht="11.1" customHeight="1">
      <c r="A21" s="71"/>
      <c r="B21" s="66"/>
      <c r="C21" s="66"/>
      <c r="D21" s="66"/>
      <c r="E21" s="66"/>
      <c r="F21" s="66"/>
      <c r="G21" s="66"/>
      <c r="L21" s="62"/>
      <c r="M21" s="62"/>
      <c r="N21" s="62"/>
      <c r="O21" s="62"/>
      <c r="S21" s="66">
        <f t="shared" si="0"/>
        <v>0</v>
      </c>
      <c r="T21" s="66">
        <f t="shared" si="1"/>
        <v>0</v>
      </c>
    </row>
    <row r="22" spans="1:20" ht="11.1" customHeight="1">
      <c r="A22" s="71"/>
      <c r="B22" s="66"/>
      <c r="C22" s="66"/>
      <c r="D22" s="66"/>
      <c r="E22" s="66"/>
      <c r="F22" s="66"/>
      <c r="G22" s="66"/>
      <c r="L22" s="62"/>
      <c r="M22" s="62"/>
      <c r="N22" s="62"/>
      <c r="O22" s="62"/>
      <c r="S22" s="66">
        <f t="shared" si="0"/>
        <v>0</v>
      </c>
      <c r="T22" s="66">
        <f t="shared" si="1"/>
        <v>0</v>
      </c>
    </row>
    <row r="23" spans="1:20" ht="11.1" customHeight="1">
      <c r="A23" s="71"/>
      <c r="B23" s="66"/>
      <c r="C23" s="66"/>
      <c r="D23" s="66"/>
      <c r="E23" s="66"/>
      <c r="F23" s="66"/>
      <c r="G23" s="66"/>
      <c r="L23" s="62"/>
      <c r="M23" s="62"/>
      <c r="N23" s="62"/>
      <c r="O23" s="62"/>
      <c r="S23" s="66">
        <f t="shared" si="0"/>
        <v>0</v>
      </c>
      <c r="T23" s="66">
        <f t="shared" si="1"/>
        <v>0</v>
      </c>
    </row>
    <row r="24" spans="1:20" ht="11.1" customHeight="1">
      <c r="A24" s="71"/>
      <c r="B24" s="66"/>
      <c r="C24" s="66"/>
      <c r="D24" s="66"/>
      <c r="E24" s="66"/>
      <c r="F24" s="66"/>
      <c r="G24" s="66"/>
      <c r="L24" s="62"/>
      <c r="M24" s="62"/>
      <c r="N24" s="62"/>
      <c r="O24" s="62"/>
      <c r="S24" s="66">
        <f t="shared" si="0"/>
        <v>0</v>
      </c>
      <c r="T24" s="66">
        <f t="shared" si="1"/>
        <v>0</v>
      </c>
    </row>
    <row r="25" spans="1:20" ht="11.1" customHeight="1">
      <c r="A25" s="71"/>
      <c r="B25" s="66"/>
      <c r="C25" s="66"/>
      <c r="D25" s="66"/>
      <c r="E25" s="66"/>
      <c r="F25" s="66"/>
      <c r="G25" s="66"/>
      <c r="L25" s="62"/>
      <c r="M25" s="62"/>
      <c r="N25" s="62"/>
      <c r="O25" s="62"/>
      <c r="S25" s="66">
        <f t="shared" si="0"/>
        <v>0</v>
      </c>
      <c r="T25" s="66">
        <f t="shared" si="1"/>
        <v>0</v>
      </c>
    </row>
    <row r="26" spans="1:20" ht="11.1" customHeight="1">
      <c r="A26" s="71"/>
      <c r="B26" s="66"/>
      <c r="C26" s="66"/>
      <c r="D26" s="66"/>
      <c r="E26" s="66"/>
      <c r="F26" s="66"/>
      <c r="G26" s="66"/>
      <c r="L26" s="62"/>
      <c r="M26" s="62"/>
      <c r="N26" s="62"/>
      <c r="O26" s="62"/>
      <c r="S26" s="66">
        <f t="shared" si="0"/>
        <v>0</v>
      </c>
      <c r="T26" s="66">
        <f t="shared" si="1"/>
        <v>0</v>
      </c>
    </row>
    <row r="27" spans="1:20" ht="11.1" customHeight="1">
      <c r="A27" s="71"/>
      <c r="B27" s="66"/>
      <c r="C27" s="66"/>
      <c r="D27" s="66"/>
      <c r="E27" s="66"/>
      <c r="F27" s="66"/>
      <c r="G27" s="66"/>
      <c r="L27" s="62"/>
      <c r="M27" s="62"/>
      <c r="N27" s="62"/>
      <c r="O27" s="62"/>
      <c r="S27" s="66">
        <f t="shared" si="0"/>
        <v>0</v>
      </c>
      <c r="T27" s="66">
        <f t="shared" si="1"/>
        <v>0</v>
      </c>
    </row>
    <row r="28" spans="1:20" ht="11.1" customHeight="1">
      <c r="A28" s="71"/>
      <c r="B28" s="66"/>
      <c r="C28" s="66"/>
      <c r="D28" s="66"/>
      <c r="E28" s="66"/>
      <c r="F28" s="66"/>
      <c r="G28" s="66"/>
      <c r="L28" s="62"/>
      <c r="M28" s="62"/>
      <c r="N28" s="62"/>
      <c r="O28" s="62"/>
      <c r="S28" s="66">
        <f t="shared" si="0"/>
        <v>0</v>
      </c>
      <c r="T28" s="66">
        <f t="shared" si="1"/>
        <v>0</v>
      </c>
    </row>
    <row r="29" spans="1:20" ht="11.1" customHeight="1">
      <c r="A29" s="71"/>
      <c r="B29" s="66"/>
      <c r="C29" s="66"/>
      <c r="D29" s="66"/>
      <c r="E29" s="66"/>
      <c r="F29" s="66"/>
      <c r="G29" s="66"/>
      <c r="L29" s="62"/>
      <c r="M29" s="62"/>
      <c r="N29" s="62"/>
      <c r="O29" s="62"/>
      <c r="S29" s="66">
        <f t="shared" si="0"/>
        <v>0</v>
      </c>
      <c r="T29" s="66">
        <f t="shared" si="1"/>
        <v>0</v>
      </c>
    </row>
    <row r="30" spans="1:20" ht="11.1" customHeight="1">
      <c r="A30" s="71"/>
      <c r="B30" s="66"/>
      <c r="C30" s="66"/>
      <c r="D30" s="66"/>
      <c r="E30" s="66"/>
      <c r="F30" s="66"/>
      <c r="G30" s="66"/>
      <c r="L30" s="62"/>
      <c r="M30" s="62"/>
      <c r="N30" s="62"/>
      <c r="O30" s="62"/>
      <c r="S30" s="66">
        <f t="shared" si="0"/>
        <v>0</v>
      </c>
      <c r="T30" s="66">
        <f t="shared" si="1"/>
        <v>0</v>
      </c>
    </row>
    <row r="31" spans="1:20" ht="11.1" customHeight="1">
      <c r="A31" s="71"/>
      <c r="B31" s="66"/>
      <c r="C31" s="66"/>
      <c r="D31" s="66"/>
      <c r="E31" s="66"/>
      <c r="F31" s="66"/>
      <c r="G31" s="66"/>
      <c r="L31" s="62"/>
      <c r="M31" s="62"/>
      <c r="N31" s="62"/>
      <c r="O31" s="62"/>
      <c r="S31" s="66">
        <f t="shared" si="0"/>
        <v>0</v>
      </c>
      <c r="T31" s="66">
        <f t="shared" si="1"/>
        <v>0</v>
      </c>
    </row>
    <row r="32" spans="1:20" ht="11.1" customHeight="1">
      <c r="A32" s="71"/>
      <c r="B32" s="66"/>
      <c r="C32" s="66"/>
      <c r="D32" s="66"/>
      <c r="E32" s="66"/>
      <c r="F32" s="66"/>
      <c r="G32" s="66"/>
      <c r="L32" s="62"/>
      <c r="M32" s="62"/>
      <c r="N32" s="62"/>
      <c r="O32" s="62"/>
      <c r="S32" s="66">
        <f t="shared" si="0"/>
        <v>0</v>
      </c>
      <c r="T32" s="66">
        <f t="shared" si="1"/>
        <v>0</v>
      </c>
    </row>
    <row r="33" spans="1:20" ht="11.1" customHeight="1">
      <c r="A33" s="71"/>
      <c r="B33" s="66"/>
      <c r="C33" s="66"/>
      <c r="D33" s="66"/>
      <c r="E33" s="66"/>
      <c r="F33" s="66"/>
      <c r="G33" s="66"/>
      <c r="L33" s="62"/>
      <c r="M33" s="62"/>
      <c r="N33" s="62"/>
      <c r="O33" s="62"/>
      <c r="S33" s="66">
        <f t="shared" si="0"/>
        <v>0</v>
      </c>
      <c r="T33" s="66">
        <f t="shared" si="1"/>
        <v>0</v>
      </c>
    </row>
    <row r="34" spans="1:20" ht="11.1" customHeight="1">
      <c r="A34" s="71"/>
      <c r="B34" s="66"/>
      <c r="C34" s="66"/>
      <c r="D34" s="66"/>
      <c r="E34" s="66"/>
      <c r="F34" s="66"/>
      <c r="G34" s="66"/>
      <c r="S34" s="66">
        <f t="shared" si="0"/>
        <v>0</v>
      </c>
      <c r="T34" s="66">
        <f t="shared" si="1"/>
        <v>0</v>
      </c>
    </row>
    <row r="35" spans="1:20" ht="11.1" customHeight="1">
      <c r="A35" s="71"/>
      <c r="B35" s="66"/>
      <c r="C35" s="66"/>
      <c r="D35" s="66"/>
      <c r="E35" s="66"/>
      <c r="F35" s="66"/>
      <c r="G35" s="66"/>
      <c r="S35" s="66">
        <f t="shared" si="0"/>
        <v>0</v>
      </c>
      <c r="T35" s="66">
        <f t="shared" si="1"/>
        <v>0</v>
      </c>
    </row>
    <row r="36" spans="1:20" ht="11.1" customHeight="1">
      <c r="A36" s="71"/>
      <c r="B36" s="66"/>
      <c r="C36" s="66"/>
      <c r="D36" s="66"/>
      <c r="E36" s="66"/>
      <c r="F36" s="66"/>
      <c r="G36" s="66"/>
      <c r="S36" s="66">
        <f t="shared" si="0"/>
        <v>0</v>
      </c>
      <c r="T36" s="66">
        <f t="shared" si="1"/>
        <v>0</v>
      </c>
    </row>
    <row r="37" spans="1:20" ht="11.1" customHeight="1">
      <c r="A37" s="71"/>
      <c r="B37" s="66"/>
      <c r="C37" s="66"/>
      <c r="D37" s="66"/>
      <c r="E37" s="66"/>
      <c r="F37" s="66"/>
      <c r="G37" s="66"/>
      <c r="S37" s="66">
        <f t="shared" si="0"/>
        <v>0</v>
      </c>
      <c r="T37" s="66">
        <f t="shared" si="1"/>
        <v>0</v>
      </c>
    </row>
    <row r="38" spans="1:20" ht="11.1" customHeight="1">
      <c r="A38" s="71"/>
      <c r="B38" s="66"/>
      <c r="C38" s="66"/>
      <c r="D38" s="66"/>
      <c r="E38" s="66"/>
      <c r="F38" s="66"/>
      <c r="G38" s="66"/>
      <c r="S38" s="66">
        <f t="shared" si="0"/>
        <v>0</v>
      </c>
      <c r="T38" s="66">
        <f t="shared" si="1"/>
        <v>0</v>
      </c>
    </row>
    <row r="39" spans="1:20" ht="11.1" customHeight="1">
      <c r="A39" s="71"/>
      <c r="B39" s="66"/>
      <c r="C39" s="66"/>
      <c r="D39" s="66"/>
      <c r="E39" s="66"/>
      <c r="F39" s="66"/>
      <c r="G39" s="66"/>
      <c r="S39" s="66">
        <f t="shared" si="0"/>
        <v>0</v>
      </c>
      <c r="T39" s="66">
        <f t="shared" si="1"/>
        <v>0</v>
      </c>
    </row>
    <row r="40" spans="1:20" ht="11.1" customHeight="1">
      <c r="A40" s="71"/>
      <c r="B40" s="66"/>
      <c r="C40" s="66"/>
      <c r="D40" s="66"/>
      <c r="E40" s="66"/>
      <c r="F40" s="66"/>
      <c r="G40" s="66"/>
      <c r="S40" s="66">
        <f t="shared" si="0"/>
        <v>0</v>
      </c>
      <c r="T40" s="66">
        <f t="shared" si="1"/>
        <v>0</v>
      </c>
    </row>
    <row r="41" spans="1:20" ht="11.1" customHeight="1">
      <c r="A41" s="71"/>
      <c r="B41" s="66"/>
      <c r="C41" s="66"/>
      <c r="D41" s="66"/>
      <c r="E41" s="66"/>
      <c r="F41" s="66"/>
      <c r="G41" s="66"/>
      <c r="S41" s="66">
        <f t="shared" si="0"/>
        <v>0</v>
      </c>
      <c r="T41" s="66">
        <f t="shared" si="1"/>
        <v>0</v>
      </c>
    </row>
    <row r="42" spans="1:20" ht="11.1" customHeight="1">
      <c r="A42" s="71"/>
      <c r="B42" s="66"/>
      <c r="C42" s="66"/>
      <c r="D42" s="66"/>
      <c r="E42" s="66"/>
      <c r="F42" s="66"/>
      <c r="G42" s="66"/>
      <c r="S42" s="66">
        <f t="shared" si="0"/>
        <v>0</v>
      </c>
      <c r="T42" s="66">
        <f t="shared" si="1"/>
        <v>0</v>
      </c>
    </row>
    <row r="43" spans="1:20" ht="11.1" customHeight="1">
      <c r="A43" s="71"/>
      <c r="B43" s="66"/>
      <c r="C43" s="66"/>
      <c r="D43" s="66"/>
      <c r="E43" s="66"/>
      <c r="F43" s="66"/>
      <c r="G43" s="66"/>
      <c r="H43" s="66"/>
      <c r="I43" s="66"/>
    </row>
    <row r="44" spans="1:20" ht="11.1" customHeight="1">
      <c r="A44" s="71"/>
      <c r="B44" s="66"/>
      <c r="C44" s="66"/>
      <c r="D44" s="66"/>
      <c r="E44" s="66"/>
      <c r="F44" s="66"/>
      <c r="G44" s="66"/>
      <c r="H44" s="66"/>
      <c r="I44" s="66"/>
    </row>
    <row r="45" spans="1:20" ht="11.1" customHeight="1">
      <c r="A45" s="71"/>
      <c r="B45" s="66"/>
      <c r="C45" s="66"/>
      <c r="D45" s="66"/>
      <c r="E45" s="66"/>
      <c r="F45" s="66"/>
      <c r="G45" s="66"/>
      <c r="H45" s="66"/>
      <c r="I45" s="66"/>
    </row>
    <row r="46" spans="1:20" ht="11.1" customHeight="1">
      <c r="A46" s="71"/>
      <c r="B46" s="66"/>
      <c r="C46" s="66"/>
      <c r="D46" s="66"/>
      <c r="E46" s="66"/>
      <c r="F46" s="66"/>
      <c r="G46" s="66"/>
      <c r="H46" s="66"/>
      <c r="I46" s="66"/>
    </row>
    <row r="47" spans="1:20" ht="11.1" customHeight="1">
      <c r="A47" s="71"/>
      <c r="B47" s="66"/>
      <c r="C47" s="66"/>
      <c r="D47" s="66"/>
      <c r="E47" s="66"/>
      <c r="F47" s="66"/>
      <c r="G47" s="66"/>
      <c r="H47" s="66"/>
      <c r="I47" s="66"/>
    </row>
    <row r="48" spans="1:20" ht="11.1" customHeight="1">
      <c r="A48" s="71"/>
      <c r="B48" s="66"/>
      <c r="C48" s="66"/>
      <c r="D48" s="66"/>
      <c r="E48" s="66"/>
      <c r="F48" s="66"/>
      <c r="G48" s="66"/>
      <c r="H48" s="66"/>
      <c r="I48" s="66"/>
    </row>
    <row r="49" spans="1:9" ht="11.1" customHeight="1">
      <c r="A49" s="71"/>
      <c r="B49" s="66"/>
      <c r="C49" s="66"/>
      <c r="D49" s="66"/>
      <c r="E49" s="66"/>
      <c r="F49" s="66"/>
      <c r="G49" s="66"/>
      <c r="H49" s="66"/>
      <c r="I49" s="66"/>
    </row>
    <row r="50" spans="1:9" ht="11.1" customHeight="1">
      <c r="A50" s="71"/>
      <c r="B50" s="66"/>
      <c r="C50" s="66"/>
      <c r="D50" s="66"/>
      <c r="E50" s="66"/>
      <c r="F50" s="66"/>
      <c r="G50" s="66"/>
      <c r="H50" s="66"/>
      <c r="I50" s="66"/>
    </row>
    <row r="51" spans="1:9" ht="11.1" customHeight="1">
      <c r="A51" s="71"/>
      <c r="B51" s="66"/>
      <c r="C51" s="66"/>
      <c r="D51" s="66"/>
      <c r="E51" s="66"/>
      <c r="F51" s="66"/>
      <c r="G51" s="66"/>
      <c r="H51" s="66"/>
      <c r="I51" s="66"/>
    </row>
    <row r="52" spans="1:9" ht="11.1" customHeight="1">
      <c r="A52" s="71"/>
      <c r="B52" s="66"/>
      <c r="C52" s="66"/>
      <c r="D52" s="66"/>
      <c r="E52" s="66"/>
      <c r="F52" s="66"/>
      <c r="G52" s="66"/>
      <c r="H52" s="66"/>
      <c r="I52" s="66"/>
    </row>
    <row r="53" spans="1:9" ht="11.1" customHeight="1">
      <c r="A53" s="71"/>
      <c r="B53" s="66"/>
      <c r="C53" s="66"/>
      <c r="D53" s="66"/>
      <c r="E53" s="66"/>
      <c r="F53" s="66"/>
      <c r="G53" s="66"/>
      <c r="H53" s="66"/>
      <c r="I53" s="66"/>
    </row>
    <row r="54" spans="1:9" ht="11.1" customHeight="1">
      <c r="A54" s="71"/>
      <c r="B54" s="66"/>
      <c r="C54" s="66"/>
      <c r="D54" s="66"/>
      <c r="E54" s="66"/>
      <c r="F54" s="66"/>
      <c r="G54" s="66"/>
      <c r="H54" s="66"/>
      <c r="I54" s="66"/>
    </row>
    <row r="55" spans="1:9" ht="11.1" customHeight="1">
      <c r="A55" s="71"/>
      <c r="B55" s="66"/>
      <c r="C55" s="66"/>
      <c r="D55" s="66"/>
      <c r="E55" s="66"/>
      <c r="F55" s="66"/>
      <c r="G55" s="66"/>
      <c r="H55" s="66"/>
      <c r="I55" s="66"/>
    </row>
    <row r="56" spans="1:9" ht="11.1" customHeight="1">
      <c r="A56" s="71"/>
      <c r="B56" s="66"/>
      <c r="C56" s="66"/>
      <c r="D56" s="66"/>
      <c r="E56" s="66"/>
      <c r="F56" s="66"/>
      <c r="G56" s="66"/>
      <c r="H56" s="66"/>
      <c r="I56" s="66"/>
    </row>
    <row r="57" spans="1:9" ht="11.1" customHeight="1">
      <c r="A57" s="71"/>
      <c r="B57" s="66"/>
      <c r="C57" s="66"/>
      <c r="D57" s="66"/>
      <c r="E57" s="66"/>
      <c r="F57" s="66"/>
      <c r="G57" s="66"/>
      <c r="H57" s="66"/>
      <c r="I57" s="66"/>
    </row>
    <row r="58" spans="1:9" ht="11.1" customHeight="1">
      <c r="A58" s="71"/>
      <c r="B58" s="66"/>
      <c r="C58" s="66"/>
      <c r="D58" s="66"/>
      <c r="E58" s="66"/>
      <c r="F58" s="66"/>
      <c r="G58" s="66"/>
      <c r="H58" s="66"/>
      <c r="I58" s="66"/>
    </row>
    <row r="59" spans="1:9" ht="11.1" customHeight="1">
      <c r="A59" s="71"/>
      <c r="B59" s="66"/>
      <c r="C59" s="66"/>
      <c r="D59" s="66"/>
      <c r="E59" s="66"/>
      <c r="F59" s="66"/>
      <c r="G59" s="66"/>
      <c r="H59" s="66"/>
      <c r="I59" s="66"/>
    </row>
    <row r="60" spans="1:9" ht="11.1" customHeight="1">
      <c r="A60" s="71"/>
      <c r="B60" s="66"/>
      <c r="C60" s="66"/>
      <c r="D60" s="66"/>
      <c r="E60" s="66"/>
      <c r="F60" s="66"/>
      <c r="G60" s="66"/>
      <c r="H60" s="66"/>
      <c r="I60" s="66"/>
    </row>
    <row r="61" spans="1:9" ht="11.1" customHeight="1">
      <c r="A61" s="71"/>
      <c r="B61" s="66"/>
      <c r="C61" s="66"/>
      <c r="D61" s="66"/>
      <c r="E61" s="66"/>
      <c r="F61" s="66"/>
      <c r="G61" s="66"/>
      <c r="H61" s="66"/>
      <c r="I61" s="66"/>
    </row>
    <row r="62" spans="1:9" ht="11.1" customHeight="1">
      <c r="A62" s="71"/>
      <c r="B62" s="66"/>
      <c r="C62" s="66"/>
      <c r="D62" s="66"/>
      <c r="E62" s="66"/>
      <c r="F62" s="66"/>
      <c r="G62" s="66"/>
      <c r="H62" s="66"/>
      <c r="I62" s="66"/>
    </row>
    <row r="63" spans="1:9" ht="11.1" customHeight="1">
      <c r="A63" s="71"/>
      <c r="B63" s="66"/>
      <c r="C63" s="66"/>
      <c r="D63" s="66"/>
      <c r="E63" s="66"/>
      <c r="F63" s="66"/>
      <c r="G63" s="66"/>
      <c r="H63" s="66"/>
      <c r="I63" s="66"/>
    </row>
    <row r="64" spans="1:9" ht="11.1" customHeight="1">
      <c r="A64" s="71"/>
      <c r="B64" s="66"/>
      <c r="C64" s="66"/>
      <c r="D64" s="66"/>
      <c r="E64" s="66"/>
      <c r="F64" s="66"/>
      <c r="G64" s="66"/>
      <c r="H64" s="66"/>
      <c r="I64" s="66"/>
    </row>
    <row r="65" spans="1:9" ht="11.1" customHeight="1">
      <c r="A65" s="71"/>
      <c r="B65" s="66"/>
      <c r="C65" s="66"/>
      <c r="D65" s="66"/>
      <c r="E65" s="66"/>
      <c r="F65" s="66"/>
      <c r="G65" s="66"/>
      <c r="H65" s="66"/>
      <c r="I65" s="66"/>
    </row>
    <row r="66" spans="1:9" ht="11.1" customHeight="1">
      <c r="A66" s="71"/>
      <c r="B66" s="66"/>
      <c r="C66" s="66"/>
      <c r="D66" s="66"/>
      <c r="E66" s="66"/>
      <c r="F66" s="66"/>
      <c r="G66" s="66"/>
      <c r="H66" s="66"/>
      <c r="I66" s="66"/>
    </row>
    <row r="67" spans="1:9" ht="11.1" customHeight="1">
      <c r="A67" s="71"/>
      <c r="B67" s="66"/>
      <c r="C67" s="66"/>
      <c r="D67" s="66"/>
      <c r="E67" s="66"/>
      <c r="F67" s="66"/>
      <c r="G67" s="66"/>
      <c r="H67" s="66"/>
      <c r="I67" s="66"/>
    </row>
    <row r="68" spans="1:9" ht="11.1" customHeight="1">
      <c r="A68" s="71"/>
      <c r="B68" s="66"/>
      <c r="C68" s="66"/>
      <c r="D68" s="66"/>
      <c r="E68" s="66"/>
      <c r="F68" s="66"/>
      <c r="G68" s="66"/>
      <c r="H68" s="66"/>
      <c r="I68" s="66"/>
    </row>
    <row r="69" spans="1:9" ht="11.1" customHeight="1">
      <c r="A69" s="71"/>
      <c r="B69" s="66"/>
      <c r="C69" s="66"/>
      <c r="D69" s="66"/>
      <c r="E69" s="66"/>
      <c r="F69" s="66"/>
      <c r="G69" s="66"/>
      <c r="H69" s="66"/>
      <c r="I69" s="66"/>
    </row>
    <row r="70" spans="1:9" ht="11.1" customHeight="1">
      <c r="A70" s="71"/>
      <c r="B70" s="66"/>
      <c r="C70" s="66"/>
      <c r="D70" s="66"/>
      <c r="E70" s="66"/>
      <c r="F70" s="66"/>
      <c r="G70" s="66"/>
      <c r="H70" s="66"/>
      <c r="I70" s="66"/>
    </row>
    <row r="71" spans="1:9" ht="11.1" customHeight="1">
      <c r="A71" s="71"/>
      <c r="B71" s="66"/>
      <c r="C71" s="66"/>
      <c r="D71" s="66"/>
      <c r="E71" s="66"/>
      <c r="F71" s="66"/>
      <c r="G71" s="66"/>
      <c r="H71" s="66"/>
      <c r="I71" s="66"/>
    </row>
    <row r="72" spans="1:9" ht="11.1" customHeight="1">
      <c r="A72" s="71"/>
      <c r="B72" s="66"/>
      <c r="C72" s="66"/>
      <c r="D72" s="66"/>
      <c r="E72" s="66"/>
      <c r="F72" s="66"/>
      <c r="G72" s="66"/>
      <c r="H72" s="66"/>
      <c r="I72" s="66"/>
    </row>
    <row r="73" spans="1:9" ht="11.1" customHeight="1">
      <c r="A73" s="71"/>
      <c r="B73" s="66"/>
      <c r="C73" s="66"/>
      <c r="D73" s="66"/>
      <c r="E73" s="66"/>
      <c r="F73" s="66"/>
      <c r="G73" s="66"/>
      <c r="H73" s="66"/>
      <c r="I73" s="66"/>
    </row>
    <row r="74" spans="1:9" ht="11.1" customHeight="1">
      <c r="A74" s="71"/>
      <c r="B74" s="66"/>
      <c r="C74" s="66"/>
      <c r="D74" s="66"/>
      <c r="E74" s="66"/>
      <c r="F74" s="66"/>
      <c r="G74" s="66"/>
      <c r="H74" s="66"/>
      <c r="I74" s="66"/>
    </row>
    <row r="75" spans="1:9" ht="11.1" customHeight="1">
      <c r="A75" s="71"/>
      <c r="B75" s="66"/>
      <c r="C75" s="66"/>
      <c r="D75" s="66"/>
      <c r="E75" s="66"/>
      <c r="F75" s="66"/>
      <c r="G75" s="66"/>
      <c r="H75" s="66"/>
      <c r="I75" s="66"/>
    </row>
    <row r="76" spans="1:9" ht="11.1" customHeight="1">
      <c r="A76" s="71"/>
      <c r="B76" s="66"/>
      <c r="C76" s="66"/>
      <c r="D76" s="66"/>
      <c r="E76" s="66"/>
      <c r="F76" s="66"/>
      <c r="G76" s="66"/>
      <c r="H76" s="66"/>
      <c r="I76" s="66"/>
    </row>
    <row r="77" spans="1:9" ht="11.1" customHeight="1">
      <c r="A77" s="71"/>
      <c r="B77" s="66"/>
      <c r="C77" s="66"/>
      <c r="D77" s="66"/>
      <c r="E77" s="66"/>
      <c r="F77" s="66"/>
      <c r="G77" s="66"/>
      <c r="H77" s="66"/>
      <c r="I77" s="66"/>
    </row>
    <row r="78" spans="1:9" ht="11.1" customHeight="1">
      <c r="A78" s="71"/>
      <c r="B78" s="66"/>
      <c r="C78" s="66"/>
      <c r="D78" s="66"/>
      <c r="E78" s="66"/>
      <c r="F78" s="66"/>
      <c r="G78" s="66"/>
      <c r="H78" s="66"/>
      <c r="I78" s="66"/>
    </row>
    <row r="79" spans="1:9" ht="11.1" customHeight="1">
      <c r="A79" s="71"/>
      <c r="B79" s="66"/>
      <c r="C79" s="66"/>
      <c r="D79" s="66"/>
      <c r="E79" s="66"/>
      <c r="F79" s="66"/>
      <c r="G79" s="66"/>
      <c r="H79" s="66"/>
      <c r="I79" s="66"/>
    </row>
    <row r="80" spans="1:9" ht="11.1" customHeight="1">
      <c r="A80" s="71"/>
      <c r="B80" s="66"/>
      <c r="C80" s="66"/>
      <c r="D80" s="66"/>
      <c r="E80" s="66"/>
      <c r="F80" s="66"/>
      <c r="G80" s="66"/>
      <c r="H80" s="66"/>
      <c r="I80" s="66"/>
    </row>
    <row r="81" spans="1:9" ht="11.1" customHeight="1">
      <c r="A81" s="71"/>
      <c r="B81" s="66"/>
      <c r="C81" s="66"/>
      <c r="D81" s="66"/>
      <c r="E81" s="66"/>
      <c r="F81" s="66"/>
      <c r="G81" s="66"/>
      <c r="H81" s="66"/>
      <c r="I81" s="66"/>
    </row>
    <row r="82" spans="1:9" ht="11.1" customHeight="1">
      <c r="A82" s="71"/>
      <c r="B82" s="66"/>
      <c r="C82" s="66"/>
      <c r="D82" s="66"/>
      <c r="E82" s="66"/>
      <c r="F82" s="66"/>
      <c r="G82" s="66"/>
      <c r="H82" s="66"/>
      <c r="I82" s="66"/>
    </row>
    <row r="83" spans="1:9" ht="11.1" customHeight="1">
      <c r="A83" s="71"/>
      <c r="B83" s="66"/>
      <c r="C83" s="66"/>
      <c r="D83" s="66"/>
      <c r="E83" s="66"/>
      <c r="F83" s="66"/>
      <c r="G83" s="66"/>
      <c r="H83" s="66"/>
      <c r="I83" s="66"/>
    </row>
    <row r="84" spans="1:9" ht="11.1" customHeight="1">
      <c r="A84" s="71"/>
      <c r="B84" s="66"/>
      <c r="C84" s="66"/>
      <c r="D84" s="66"/>
      <c r="E84" s="66"/>
      <c r="F84" s="66"/>
      <c r="G84" s="66"/>
      <c r="H84" s="66"/>
      <c r="I84" s="66"/>
    </row>
    <row r="85" spans="1:9" ht="11.1" customHeight="1">
      <c r="A85" s="71"/>
      <c r="B85" s="66"/>
      <c r="C85" s="66"/>
      <c r="D85" s="66"/>
      <c r="E85" s="66"/>
      <c r="F85" s="66"/>
      <c r="G85" s="66"/>
      <c r="H85" s="66"/>
      <c r="I85" s="66"/>
    </row>
    <row r="86" spans="1:9" ht="11.1" customHeight="1">
      <c r="A86" s="71"/>
      <c r="B86" s="66"/>
      <c r="C86" s="66"/>
      <c r="D86" s="66"/>
      <c r="E86" s="66"/>
      <c r="F86" s="66"/>
      <c r="G86" s="66"/>
      <c r="H86" s="66"/>
      <c r="I86" s="66"/>
    </row>
    <row r="87" spans="1:9" ht="11.1" customHeight="1">
      <c r="A87" s="71"/>
      <c r="B87" s="66"/>
      <c r="C87" s="66"/>
      <c r="D87" s="66"/>
      <c r="E87" s="66"/>
      <c r="F87" s="66"/>
      <c r="G87" s="66"/>
      <c r="H87" s="66"/>
      <c r="I87" s="66"/>
    </row>
    <row r="88" spans="1:9" ht="11.1" customHeight="1">
      <c r="A88" s="71"/>
      <c r="B88" s="66"/>
      <c r="C88" s="66"/>
      <c r="D88" s="66"/>
      <c r="E88" s="66"/>
      <c r="F88" s="66"/>
      <c r="G88" s="66"/>
      <c r="H88" s="66"/>
      <c r="I88" s="66"/>
    </row>
    <row r="89" spans="1:9" ht="11.1" customHeight="1">
      <c r="A89" s="71"/>
      <c r="B89" s="66"/>
      <c r="C89" s="66"/>
      <c r="D89" s="66"/>
      <c r="E89" s="66"/>
      <c r="F89" s="66"/>
      <c r="G89" s="66"/>
      <c r="H89" s="66"/>
      <c r="I89" s="66"/>
    </row>
    <row r="90" spans="1:9" ht="11.1" customHeight="1">
      <c r="A90" s="71"/>
      <c r="B90" s="66"/>
      <c r="C90" s="66"/>
      <c r="D90" s="66"/>
      <c r="E90" s="66"/>
      <c r="F90" s="66"/>
      <c r="G90" s="66"/>
      <c r="H90" s="66"/>
      <c r="I90" s="66"/>
    </row>
    <row r="91" spans="1:9" ht="11.1" customHeight="1">
      <c r="A91" s="71"/>
      <c r="B91" s="66"/>
      <c r="C91" s="66"/>
      <c r="D91" s="66"/>
      <c r="E91" s="66"/>
      <c r="F91" s="66"/>
      <c r="G91" s="66"/>
      <c r="H91" s="66"/>
      <c r="I91" s="66"/>
    </row>
    <row r="92" spans="1:9" ht="11.1" customHeight="1">
      <c r="A92" s="71"/>
      <c r="B92" s="66"/>
      <c r="C92" s="66"/>
      <c r="D92" s="66"/>
      <c r="E92" s="66"/>
      <c r="F92" s="66"/>
      <c r="G92" s="66"/>
      <c r="H92" s="66"/>
      <c r="I92" s="66"/>
    </row>
    <row r="93" spans="1:9" ht="11.1" customHeight="1">
      <c r="A93" s="71"/>
      <c r="B93" s="66"/>
      <c r="C93" s="66"/>
      <c r="D93" s="66"/>
      <c r="E93" s="66"/>
      <c r="F93" s="66"/>
      <c r="G93" s="66"/>
      <c r="H93" s="66"/>
      <c r="I93" s="66"/>
    </row>
    <row r="94" spans="1:9" ht="11.1" customHeight="1">
      <c r="A94" s="71"/>
      <c r="B94" s="66"/>
      <c r="C94" s="66"/>
      <c r="D94" s="66"/>
      <c r="E94" s="66"/>
      <c r="F94" s="66"/>
      <c r="G94" s="66"/>
      <c r="H94" s="66"/>
      <c r="I94" s="66"/>
    </row>
    <row r="95" spans="1:9" ht="11.1" customHeight="1">
      <c r="A95" s="71"/>
      <c r="B95" s="66"/>
      <c r="C95" s="66"/>
      <c r="D95" s="66"/>
      <c r="E95" s="66"/>
      <c r="F95" s="66"/>
      <c r="G95" s="66"/>
      <c r="H95" s="66"/>
      <c r="I95" s="66"/>
    </row>
    <row r="96" spans="1:9" ht="11.1" customHeight="1">
      <c r="A96" s="71"/>
      <c r="B96" s="66"/>
      <c r="C96" s="66"/>
      <c r="D96" s="66"/>
      <c r="E96" s="66"/>
      <c r="F96" s="66"/>
      <c r="G96" s="66"/>
      <c r="H96" s="66"/>
      <c r="I96" s="66"/>
    </row>
    <row r="97" spans="1:9" ht="11.1" customHeight="1">
      <c r="A97" s="71"/>
      <c r="B97" s="66"/>
      <c r="C97" s="66"/>
      <c r="D97" s="66"/>
      <c r="E97" s="66"/>
      <c r="F97" s="66"/>
      <c r="G97" s="66"/>
      <c r="H97" s="66"/>
      <c r="I97" s="66"/>
    </row>
    <row r="98" spans="1:9" ht="11.1" customHeight="1">
      <c r="A98" s="71"/>
      <c r="B98" s="66"/>
      <c r="C98" s="66"/>
      <c r="D98" s="66"/>
      <c r="E98" s="66"/>
      <c r="F98" s="66"/>
      <c r="G98" s="66"/>
      <c r="H98" s="66"/>
      <c r="I98" s="66"/>
    </row>
    <row r="99" spans="1:9" ht="11.1" customHeight="1">
      <c r="A99" s="71"/>
      <c r="B99" s="66"/>
      <c r="C99" s="66"/>
      <c r="D99" s="66"/>
      <c r="E99" s="66"/>
      <c r="F99" s="66"/>
      <c r="G99" s="66"/>
      <c r="H99" s="66"/>
      <c r="I99" s="66"/>
    </row>
    <row r="100" spans="1:9" ht="11.1" customHeight="1">
      <c r="A100" s="71"/>
      <c r="B100" s="66"/>
      <c r="C100" s="66"/>
      <c r="D100" s="66"/>
      <c r="E100" s="66"/>
      <c r="F100" s="66"/>
      <c r="G100" s="66"/>
      <c r="H100" s="66"/>
      <c r="I100" s="66"/>
    </row>
    <row r="101" spans="1:9" ht="11.1" customHeight="1">
      <c r="A101" s="71"/>
      <c r="B101" s="66"/>
      <c r="C101" s="66"/>
      <c r="D101" s="66"/>
      <c r="E101" s="66"/>
      <c r="F101" s="66"/>
      <c r="G101" s="66"/>
      <c r="H101" s="66"/>
      <c r="I101" s="66"/>
    </row>
    <row r="102" spans="1:9" ht="11.1" customHeight="1">
      <c r="A102" s="71"/>
      <c r="B102" s="66"/>
      <c r="C102" s="66"/>
      <c r="D102" s="66"/>
      <c r="E102" s="66"/>
      <c r="F102" s="66"/>
      <c r="G102" s="66"/>
      <c r="H102" s="66"/>
      <c r="I102" s="66"/>
    </row>
    <row r="103" spans="1:9" ht="11.1" customHeight="1">
      <c r="A103" s="71"/>
      <c r="B103" s="66"/>
      <c r="C103" s="66"/>
      <c r="D103" s="66"/>
      <c r="E103" s="66"/>
      <c r="F103" s="66"/>
      <c r="G103" s="66"/>
      <c r="H103" s="66"/>
      <c r="I103" s="66"/>
    </row>
    <row r="104" spans="1:9" ht="11.1" customHeight="1">
      <c r="A104" s="71"/>
      <c r="B104" s="66"/>
      <c r="C104" s="66"/>
      <c r="D104" s="66"/>
      <c r="E104" s="66"/>
      <c r="F104" s="66"/>
      <c r="G104" s="66"/>
      <c r="H104" s="66"/>
      <c r="I104" s="66"/>
    </row>
    <row r="105" spans="1:9" ht="11.1" customHeight="1">
      <c r="A105" s="71"/>
      <c r="B105" s="66"/>
      <c r="C105" s="66"/>
      <c r="D105" s="66"/>
      <c r="E105" s="66"/>
      <c r="F105" s="66"/>
      <c r="G105" s="66"/>
      <c r="H105" s="66"/>
      <c r="I105" s="66"/>
    </row>
    <row r="106" spans="1:9" ht="11.1" customHeight="1">
      <c r="A106" s="71"/>
      <c r="B106" s="66"/>
      <c r="C106" s="66"/>
      <c r="D106" s="66"/>
      <c r="E106" s="66"/>
      <c r="F106" s="66"/>
      <c r="G106" s="66"/>
      <c r="H106" s="66"/>
      <c r="I106" s="66"/>
    </row>
    <row r="107" spans="1:9" ht="11.1" customHeight="1">
      <c r="A107" s="71"/>
      <c r="B107" s="66"/>
      <c r="C107" s="66"/>
      <c r="D107" s="66"/>
      <c r="E107" s="66"/>
      <c r="F107" s="66"/>
      <c r="G107" s="66"/>
      <c r="H107" s="66"/>
      <c r="I107" s="66"/>
    </row>
    <row r="108" spans="1:9" ht="11.1" customHeight="1">
      <c r="A108" s="71"/>
      <c r="B108" s="66"/>
      <c r="C108" s="66"/>
      <c r="D108" s="66"/>
      <c r="E108" s="66"/>
      <c r="F108" s="66"/>
      <c r="G108" s="66"/>
      <c r="H108" s="66"/>
      <c r="I108" s="66"/>
    </row>
    <row r="109" spans="1:9" ht="11.1" customHeight="1">
      <c r="A109" s="71"/>
      <c r="B109" s="66"/>
      <c r="C109" s="66"/>
      <c r="D109" s="66"/>
      <c r="E109" s="66"/>
      <c r="F109" s="66"/>
      <c r="G109" s="66"/>
      <c r="H109" s="66"/>
      <c r="I109" s="66"/>
    </row>
    <row r="110" spans="1:9" ht="11.1" customHeight="1">
      <c r="A110" s="71"/>
      <c r="B110" s="66"/>
      <c r="C110" s="66"/>
      <c r="D110" s="66"/>
      <c r="E110" s="66"/>
      <c r="F110" s="66"/>
      <c r="G110" s="66"/>
      <c r="H110" s="66"/>
      <c r="I110" s="66"/>
    </row>
    <row r="111" spans="1:9" ht="11.1" customHeight="1">
      <c r="A111" s="71"/>
      <c r="B111" s="66"/>
      <c r="C111" s="66"/>
      <c r="D111" s="66"/>
      <c r="E111" s="66"/>
      <c r="F111" s="66"/>
      <c r="G111" s="66"/>
      <c r="H111" s="66"/>
      <c r="I111" s="66"/>
    </row>
    <row r="112" spans="1:9" ht="11.1" customHeight="1">
      <c r="A112" s="71"/>
      <c r="B112" s="66"/>
      <c r="C112" s="66"/>
      <c r="D112" s="66"/>
      <c r="E112" s="66"/>
      <c r="F112" s="66"/>
      <c r="G112" s="66"/>
      <c r="H112" s="66"/>
      <c r="I112" s="66"/>
    </row>
    <row r="113" spans="1:9" ht="11.1" customHeight="1">
      <c r="A113" s="71"/>
      <c r="B113" s="66"/>
      <c r="C113" s="66"/>
      <c r="D113" s="66"/>
      <c r="E113" s="66"/>
      <c r="F113" s="66"/>
      <c r="G113" s="66"/>
      <c r="H113" s="66"/>
      <c r="I113" s="66"/>
    </row>
    <row r="114" spans="1:9" ht="11.1" customHeight="1">
      <c r="A114" s="71"/>
      <c r="B114" s="66"/>
      <c r="C114" s="66"/>
      <c r="D114" s="66"/>
      <c r="E114" s="66"/>
      <c r="F114" s="66"/>
      <c r="G114" s="66"/>
      <c r="H114" s="66"/>
      <c r="I114" s="66"/>
    </row>
    <row r="115" spans="1:9" ht="11.1" customHeight="1">
      <c r="A115" s="71"/>
      <c r="B115" s="66"/>
      <c r="C115" s="66"/>
      <c r="D115" s="66"/>
      <c r="E115" s="66"/>
      <c r="F115" s="66"/>
      <c r="G115" s="66"/>
      <c r="H115" s="66"/>
      <c r="I115" s="66"/>
    </row>
    <row r="116" spans="1:9" ht="11.1" customHeight="1">
      <c r="A116" s="71"/>
      <c r="B116" s="66"/>
      <c r="C116" s="66"/>
      <c r="D116" s="66"/>
      <c r="E116" s="66"/>
      <c r="F116" s="66"/>
      <c r="G116" s="66"/>
      <c r="H116" s="66"/>
      <c r="I116" s="66"/>
    </row>
    <row r="117" spans="1:9" ht="11.1" customHeight="1">
      <c r="A117" s="71"/>
      <c r="B117" s="66"/>
      <c r="C117" s="66"/>
      <c r="D117" s="66"/>
      <c r="E117" s="66"/>
      <c r="F117" s="66"/>
      <c r="G117" s="66"/>
      <c r="H117" s="66"/>
      <c r="I117" s="66"/>
    </row>
    <row r="118" spans="1:9" ht="11.1" customHeight="1">
      <c r="A118" s="71"/>
      <c r="B118" s="66"/>
      <c r="C118" s="66"/>
      <c r="D118" s="66"/>
      <c r="E118" s="66"/>
      <c r="F118" s="66"/>
      <c r="G118" s="66"/>
      <c r="H118" s="66"/>
      <c r="I118" s="66"/>
    </row>
    <row r="119" spans="1:9" ht="11.1" customHeight="1">
      <c r="A119" s="71"/>
      <c r="B119" s="66"/>
      <c r="C119" s="66"/>
      <c r="D119" s="66"/>
      <c r="E119" s="66"/>
      <c r="F119" s="66"/>
      <c r="G119" s="66"/>
      <c r="H119" s="66"/>
      <c r="I119" s="66"/>
    </row>
    <row r="120" spans="1:9" ht="11.1" customHeight="1">
      <c r="A120" s="71"/>
      <c r="B120" s="66"/>
      <c r="C120" s="66"/>
      <c r="D120" s="66"/>
      <c r="E120" s="66"/>
      <c r="F120" s="66"/>
      <c r="G120" s="66"/>
      <c r="H120" s="66"/>
      <c r="I120" s="66"/>
    </row>
    <row r="121" spans="1:9" ht="11.1" customHeight="1">
      <c r="A121" s="71"/>
      <c r="B121" s="66"/>
      <c r="C121" s="66"/>
      <c r="D121" s="66"/>
      <c r="E121" s="66"/>
      <c r="F121" s="66"/>
      <c r="G121" s="66"/>
      <c r="H121" s="66"/>
      <c r="I121" s="66"/>
    </row>
    <row r="122" spans="1:9" ht="11.1" customHeight="1">
      <c r="A122" s="71"/>
      <c r="B122" s="66"/>
      <c r="C122" s="66"/>
      <c r="D122" s="66"/>
      <c r="E122" s="66"/>
      <c r="F122" s="66"/>
      <c r="G122" s="66"/>
      <c r="H122" s="66"/>
      <c r="I122" s="66"/>
    </row>
    <row r="123" spans="1:9" ht="11.1" customHeight="1">
      <c r="A123" s="71"/>
      <c r="B123" s="66"/>
      <c r="C123" s="66"/>
      <c r="D123" s="66"/>
      <c r="E123" s="66"/>
      <c r="F123" s="66"/>
      <c r="G123" s="66"/>
      <c r="H123" s="66"/>
      <c r="I123" s="66"/>
    </row>
    <row r="124" spans="1:9" ht="11.1" customHeight="1">
      <c r="A124" s="71"/>
      <c r="B124" s="66"/>
      <c r="C124" s="66"/>
      <c r="D124" s="66"/>
      <c r="E124" s="66"/>
      <c r="F124" s="66"/>
      <c r="G124" s="66"/>
      <c r="H124" s="66"/>
      <c r="I124" s="66"/>
    </row>
    <row r="125" spans="1:9" ht="11.1" customHeight="1">
      <c r="A125" s="71"/>
      <c r="B125" s="66"/>
      <c r="C125" s="66"/>
      <c r="D125" s="66"/>
      <c r="E125" s="66"/>
      <c r="F125" s="66"/>
      <c r="G125" s="66"/>
      <c r="H125" s="66"/>
      <c r="I125" s="66"/>
    </row>
    <row r="126" spans="1:9" ht="11.1" customHeight="1">
      <c r="A126" s="71"/>
      <c r="B126" s="66"/>
      <c r="C126" s="66"/>
      <c r="D126" s="66"/>
      <c r="E126" s="66"/>
      <c r="F126" s="66"/>
      <c r="G126" s="66"/>
      <c r="H126" s="66"/>
      <c r="I126" s="66"/>
    </row>
    <row r="127" spans="1:9" ht="11.1" customHeight="1">
      <c r="A127" s="71"/>
      <c r="B127" s="66"/>
      <c r="C127" s="66"/>
      <c r="D127" s="66"/>
      <c r="E127" s="66"/>
      <c r="F127" s="66"/>
      <c r="G127" s="66"/>
      <c r="H127" s="66"/>
      <c r="I127" s="66"/>
    </row>
    <row r="128" spans="1:9" ht="11.1" customHeight="1">
      <c r="A128" s="71"/>
      <c r="B128" s="66"/>
      <c r="C128" s="66"/>
      <c r="D128" s="66"/>
      <c r="E128" s="66"/>
      <c r="F128" s="66"/>
      <c r="G128" s="66"/>
      <c r="H128" s="66"/>
      <c r="I128" s="66"/>
    </row>
    <row r="129" spans="1:9" ht="11.1" customHeight="1">
      <c r="A129" s="71"/>
      <c r="B129" s="66"/>
      <c r="C129" s="66"/>
      <c r="D129" s="66"/>
      <c r="E129" s="66"/>
      <c r="F129" s="66"/>
      <c r="G129" s="66"/>
      <c r="H129" s="66"/>
      <c r="I129" s="66"/>
    </row>
    <row r="130" spans="1:9" ht="11.1" customHeight="1">
      <c r="A130" s="71"/>
      <c r="B130" s="66"/>
      <c r="C130" s="66"/>
      <c r="D130" s="66"/>
      <c r="E130" s="66"/>
      <c r="F130" s="66"/>
      <c r="G130" s="66"/>
      <c r="H130" s="66"/>
      <c r="I130" s="66"/>
    </row>
    <row r="131" spans="1:9" ht="11.1" customHeight="1">
      <c r="A131" s="71"/>
      <c r="B131" s="66"/>
      <c r="C131" s="66"/>
      <c r="D131" s="66"/>
      <c r="E131" s="66"/>
      <c r="F131" s="66"/>
      <c r="G131" s="66"/>
      <c r="H131" s="66"/>
      <c r="I131" s="66"/>
    </row>
    <row r="132" spans="1:9" ht="11.1" customHeight="1">
      <c r="A132" s="71"/>
      <c r="B132" s="66"/>
      <c r="C132" s="66"/>
      <c r="D132" s="66"/>
      <c r="E132" s="66"/>
      <c r="F132" s="66"/>
      <c r="G132" s="66"/>
      <c r="H132" s="66"/>
      <c r="I132" s="66"/>
    </row>
    <row r="133" spans="1:9" ht="11.1" customHeight="1">
      <c r="A133" s="71"/>
      <c r="B133" s="66"/>
      <c r="C133" s="66"/>
      <c r="D133" s="66"/>
      <c r="E133" s="66"/>
      <c r="F133" s="66"/>
      <c r="G133" s="66"/>
      <c r="H133" s="66"/>
      <c r="I133" s="66"/>
    </row>
    <row r="134" spans="1:9" ht="11.1" customHeight="1">
      <c r="A134" s="71"/>
      <c r="B134" s="66"/>
      <c r="C134" s="66"/>
      <c r="D134" s="66"/>
      <c r="E134" s="66"/>
      <c r="F134" s="66"/>
      <c r="G134" s="66"/>
      <c r="H134" s="66"/>
      <c r="I134" s="66"/>
    </row>
    <row r="135" spans="1:9" ht="11.1" customHeight="1">
      <c r="A135" s="71"/>
      <c r="B135" s="66"/>
      <c r="C135" s="66"/>
      <c r="D135" s="66"/>
      <c r="E135" s="66"/>
      <c r="F135" s="66"/>
      <c r="G135" s="66"/>
      <c r="H135" s="66"/>
      <c r="I135" s="66"/>
    </row>
    <row r="136" spans="1:9" ht="11.1" customHeight="1">
      <c r="A136" s="71"/>
      <c r="B136" s="66"/>
      <c r="C136" s="66"/>
      <c r="D136" s="66"/>
      <c r="E136" s="66"/>
      <c r="F136" s="66"/>
      <c r="G136" s="66"/>
      <c r="H136" s="66"/>
      <c r="I136" s="66"/>
    </row>
    <row r="137" spans="1:9" ht="11.1" customHeight="1">
      <c r="A137" s="71"/>
      <c r="B137" s="66"/>
      <c r="C137" s="66"/>
      <c r="D137" s="66"/>
      <c r="E137" s="66"/>
      <c r="F137" s="66"/>
      <c r="G137" s="66"/>
      <c r="H137" s="66"/>
      <c r="I137" s="66"/>
    </row>
    <row r="138" spans="1:9" ht="11.1" customHeight="1">
      <c r="A138" s="71"/>
      <c r="B138" s="66"/>
      <c r="C138" s="66"/>
      <c r="D138" s="66"/>
      <c r="E138" s="66"/>
      <c r="F138" s="66"/>
      <c r="G138" s="66"/>
      <c r="H138" s="66"/>
      <c r="I138" s="66"/>
    </row>
    <row r="139" spans="1:9" ht="11.1" customHeight="1">
      <c r="A139" s="71"/>
      <c r="B139" s="66"/>
      <c r="C139" s="66"/>
      <c r="D139" s="66"/>
      <c r="E139" s="66"/>
      <c r="F139" s="66"/>
      <c r="G139" s="66"/>
      <c r="H139" s="66"/>
      <c r="I139" s="66"/>
    </row>
    <row r="140" spans="1:9" ht="11.1" customHeight="1">
      <c r="A140" s="71"/>
      <c r="B140" s="66"/>
      <c r="C140" s="66"/>
      <c r="D140" s="66"/>
      <c r="E140" s="66"/>
      <c r="F140" s="66"/>
      <c r="G140" s="66"/>
      <c r="H140" s="66"/>
      <c r="I140" s="66"/>
    </row>
    <row r="141" spans="1:9" ht="11.1" customHeight="1">
      <c r="A141" s="71"/>
      <c r="B141" s="66"/>
      <c r="C141" s="66"/>
      <c r="D141" s="66"/>
      <c r="E141" s="66"/>
      <c r="F141" s="66"/>
      <c r="G141" s="66"/>
      <c r="H141" s="66"/>
      <c r="I141" s="66"/>
    </row>
    <row r="142" spans="1:9" ht="11.1" customHeight="1">
      <c r="A142" s="71"/>
      <c r="B142" s="66"/>
      <c r="C142" s="66"/>
      <c r="D142" s="66"/>
      <c r="E142" s="66"/>
      <c r="F142" s="66"/>
      <c r="G142" s="66"/>
      <c r="H142" s="66"/>
      <c r="I142" s="66"/>
    </row>
    <row r="143" spans="1:9" ht="11.1" customHeight="1">
      <c r="A143" s="71"/>
      <c r="B143" s="66"/>
      <c r="C143" s="66"/>
      <c r="D143" s="66"/>
      <c r="E143" s="66"/>
      <c r="F143" s="66"/>
      <c r="G143" s="66"/>
      <c r="H143" s="66"/>
      <c r="I143" s="66"/>
    </row>
    <row r="144" spans="1:9" ht="11.1" customHeight="1">
      <c r="A144" s="71"/>
      <c r="B144" s="66"/>
      <c r="C144" s="66"/>
      <c r="D144" s="66"/>
      <c r="E144" s="66"/>
      <c r="F144" s="66"/>
      <c r="G144" s="66"/>
      <c r="H144" s="66"/>
      <c r="I144" s="66"/>
    </row>
    <row r="145" spans="1:9" ht="11.1" customHeight="1">
      <c r="A145" s="71"/>
      <c r="B145" s="66"/>
      <c r="C145" s="66"/>
      <c r="D145" s="66"/>
      <c r="E145" s="66"/>
      <c r="F145" s="66"/>
      <c r="G145" s="66"/>
      <c r="H145" s="66"/>
      <c r="I145" s="66"/>
    </row>
    <row r="146" spans="1:9" ht="11.1" customHeight="1">
      <c r="A146" s="71"/>
      <c r="B146" s="66"/>
      <c r="C146" s="66"/>
      <c r="D146" s="66"/>
      <c r="E146" s="66"/>
      <c r="F146" s="66"/>
      <c r="G146" s="66"/>
      <c r="H146" s="66"/>
      <c r="I146" s="66"/>
    </row>
    <row r="147" spans="1:9" ht="11.1" customHeight="1">
      <c r="A147" s="71"/>
      <c r="B147" s="66"/>
      <c r="C147" s="66"/>
      <c r="D147" s="66"/>
      <c r="E147" s="66"/>
      <c r="F147" s="66"/>
      <c r="G147" s="66"/>
      <c r="H147" s="66"/>
      <c r="I147" s="66"/>
    </row>
    <row r="148" spans="1:9" ht="11.1" customHeight="1">
      <c r="A148" s="71"/>
      <c r="B148" s="66"/>
      <c r="C148" s="66"/>
      <c r="D148" s="66"/>
      <c r="E148" s="66"/>
      <c r="F148" s="66"/>
      <c r="G148" s="66"/>
      <c r="H148" s="66"/>
      <c r="I148" s="66"/>
    </row>
    <row r="149" spans="1:9" ht="11.1" customHeight="1">
      <c r="A149" s="71"/>
      <c r="B149" s="66"/>
      <c r="C149" s="66"/>
      <c r="D149" s="66"/>
      <c r="E149" s="66"/>
      <c r="F149" s="66"/>
      <c r="G149" s="66"/>
      <c r="H149" s="66"/>
      <c r="I149" s="66"/>
    </row>
    <row r="150" spans="1:9" ht="11.1" customHeight="1">
      <c r="A150" s="71"/>
      <c r="B150" s="66"/>
      <c r="C150" s="66"/>
      <c r="D150" s="66"/>
      <c r="E150" s="66"/>
      <c r="F150" s="66"/>
      <c r="G150" s="66"/>
      <c r="H150" s="66"/>
      <c r="I150" s="66"/>
    </row>
    <row r="151" spans="1:9" ht="11.1" customHeight="1">
      <c r="A151" s="71"/>
      <c r="B151" s="66"/>
      <c r="C151" s="66"/>
      <c r="D151" s="66"/>
      <c r="E151" s="66"/>
      <c r="F151" s="66"/>
      <c r="G151" s="66"/>
      <c r="H151" s="66"/>
      <c r="I151" s="66"/>
    </row>
    <row r="152" spans="1:9" ht="11.1" customHeight="1">
      <c r="A152" s="71"/>
      <c r="B152" s="66"/>
      <c r="C152" s="66"/>
      <c r="D152" s="66"/>
      <c r="E152" s="66"/>
      <c r="F152" s="66"/>
      <c r="G152" s="66"/>
      <c r="H152" s="66"/>
      <c r="I152" s="66"/>
    </row>
    <row r="153" spans="1:9" ht="11.1" customHeight="1">
      <c r="A153" s="71"/>
      <c r="B153" s="66"/>
      <c r="C153" s="66"/>
      <c r="D153" s="66"/>
      <c r="E153" s="66"/>
      <c r="F153" s="66"/>
      <c r="G153" s="66"/>
      <c r="H153" s="66"/>
      <c r="I153" s="66"/>
    </row>
    <row r="154" spans="1:9" ht="11.1" customHeight="1">
      <c r="A154" s="71"/>
      <c r="B154" s="66"/>
      <c r="C154" s="66"/>
      <c r="D154" s="66"/>
      <c r="E154" s="66"/>
      <c r="F154" s="66"/>
      <c r="G154" s="66"/>
      <c r="H154" s="66"/>
      <c r="I154" s="66"/>
    </row>
    <row r="155" spans="1:9" ht="11.1" customHeight="1">
      <c r="A155" s="71"/>
      <c r="B155" s="66"/>
      <c r="C155" s="66"/>
      <c r="D155" s="66"/>
      <c r="E155" s="66"/>
      <c r="F155" s="66"/>
      <c r="G155" s="66"/>
      <c r="H155" s="66"/>
      <c r="I155" s="66"/>
    </row>
    <row r="156" spans="1:9" ht="11.1" customHeight="1">
      <c r="A156" s="71"/>
      <c r="B156" s="66"/>
      <c r="C156" s="66"/>
      <c r="D156" s="66"/>
      <c r="E156" s="66"/>
      <c r="F156" s="66"/>
      <c r="G156" s="66"/>
      <c r="H156" s="66"/>
      <c r="I156" s="66"/>
    </row>
    <row r="157" spans="1:9" ht="11.1" customHeight="1">
      <c r="A157" s="71"/>
      <c r="B157" s="66"/>
      <c r="C157" s="66"/>
      <c r="D157" s="66"/>
      <c r="E157" s="66"/>
      <c r="F157" s="66"/>
      <c r="G157" s="66"/>
      <c r="H157" s="66"/>
      <c r="I157" s="66"/>
    </row>
    <row r="158" spans="1:9" ht="11.1" customHeight="1">
      <c r="A158" s="71"/>
      <c r="B158" s="66"/>
      <c r="C158" s="66"/>
      <c r="D158" s="66"/>
      <c r="E158" s="66"/>
      <c r="F158" s="66"/>
      <c r="G158" s="66"/>
      <c r="H158" s="66"/>
      <c r="I158" s="66"/>
    </row>
    <row r="159" spans="1:9" ht="11.1" customHeight="1">
      <c r="A159" s="71"/>
      <c r="B159" s="66"/>
      <c r="C159" s="66"/>
      <c r="D159" s="66"/>
      <c r="E159" s="66"/>
      <c r="F159" s="66"/>
      <c r="G159" s="66"/>
      <c r="H159" s="66"/>
      <c r="I159" s="66"/>
    </row>
    <row r="160" spans="1:9" ht="11.1" customHeight="1">
      <c r="A160" s="71"/>
      <c r="B160" s="66"/>
      <c r="C160" s="66"/>
      <c r="D160" s="66"/>
      <c r="E160" s="66"/>
      <c r="F160" s="66"/>
      <c r="G160" s="66"/>
      <c r="H160" s="66"/>
      <c r="I160" s="66"/>
    </row>
    <row r="161" spans="1:9" ht="11.1" customHeight="1">
      <c r="A161" s="71"/>
      <c r="B161" s="66"/>
      <c r="C161" s="66"/>
      <c r="D161" s="66"/>
      <c r="E161" s="66"/>
      <c r="F161" s="66"/>
      <c r="G161" s="66"/>
      <c r="H161" s="66"/>
      <c r="I161" s="66"/>
    </row>
    <row r="162" spans="1:9" ht="11.1" customHeight="1">
      <c r="A162" s="71"/>
      <c r="B162" s="66"/>
      <c r="C162" s="66"/>
      <c r="D162" s="66"/>
      <c r="E162" s="66"/>
      <c r="F162" s="66"/>
      <c r="G162" s="66"/>
      <c r="H162" s="66"/>
      <c r="I162" s="66"/>
    </row>
    <row r="163" spans="1:9" ht="11.1" customHeight="1">
      <c r="A163" s="71"/>
      <c r="B163" s="66"/>
      <c r="C163" s="66"/>
      <c r="D163" s="66"/>
      <c r="E163" s="66"/>
      <c r="F163" s="66"/>
      <c r="G163" s="66"/>
      <c r="H163" s="66"/>
      <c r="I163" s="66"/>
    </row>
    <row r="164" spans="1:9" ht="11.1" customHeight="1">
      <c r="A164" s="71"/>
      <c r="B164" s="66"/>
      <c r="C164" s="66"/>
      <c r="D164" s="66"/>
      <c r="E164" s="66"/>
      <c r="F164" s="66"/>
      <c r="G164" s="66"/>
      <c r="H164" s="66"/>
      <c r="I164" s="66"/>
    </row>
    <row r="165" spans="1:9" ht="11.1" customHeight="1">
      <c r="A165" s="71"/>
      <c r="B165" s="66"/>
      <c r="C165" s="66"/>
      <c r="D165" s="66"/>
      <c r="E165" s="66"/>
      <c r="F165" s="66"/>
      <c r="G165" s="66"/>
      <c r="H165" s="66"/>
      <c r="I165" s="66"/>
    </row>
    <row r="166" spans="1:9" ht="11.1" customHeight="1">
      <c r="A166" s="71"/>
      <c r="B166" s="66"/>
      <c r="C166" s="66"/>
      <c r="D166" s="66"/>
      <c r="E166" s="66"/>
      <c r="F166" s="66"/>
      <c r="G166" s="66"/>
      <c r="H166" s="66"/>
      <c r="I166" s="66"/>
    </row>
    <row r="167" spans="1:9" ht="11.1" customHeight="1">
      <c r="A167" s="71"/>
      <c r="B167" s="66"/>
      <c r="C167" s="66"/>
      <c r="D167" s="66"/>
      <c r="E167" s="66"/>
      <c r="F167" s="66"/>
      <c r="G167" s="66"/>
      <c r="H167" s="66"/>
      <c r="I167" s="66"/>
    </row>
    <row r="168" spans="1:9" ht="11.1" customHeight="1">
      <c r="A168" s="71"/>
      <c r="B168" s="66"/>
      <c r="C168" s="66"/>
      <c r="D168" s="66"/>
      <c r="E168" s="66"/>
      <c r="F168" s="66"/>
      <c r="G168" s="66"/>
      <c r="H168" s="66"/>
      <c r="I168" s="66"/>
    </row>
    <row r="169" spans="1:9" ht="11.1" customHeight="1">
      <c r="A169" s="71"/>
      <c r="B169" s="66"/>
      <c r="C169" s="66"/>
      <c r="D169" s="66"/>
      <c r="E169" s="66"/>
      <c r="F169" s="66"/>
      <c r="G169" s="66"/>
      <c r="H169" s="66"/>
      <c r="I169" s="66"/>
    </row>
    <row r="170" spans="1:9" ht="11.1" customHeight="1">
      <c r="A170" s="71"/>
      <c r="B170" s="66"/>
      <c r="C170" s="66"/>
      <c r="D170" s="66"/>
      <c r="E170" s="66"/>
      <c r="F170" s="66"/>
      <c r="G170" s="66"/>
      <c r="H170" s="66"/>
      <c r="I170" s="66"/>
    </row>
    <row r="171" spans="1:9" ht="11.1" customHeight="1">
      <c r="A171" s="71"/>
      <c r="B171" s="66"/>
      <c r="C171" s="66"/>
      <c r="D171" s="66"/>
      <c r="E171" s="66"/>
      <c r="F171" s="66"/>
      <c r="G171" s="66"/>
      <c r="H171" s="66"/>
      <c r="I171" s="66"/>
    </row>
    <row r="172" spans="1:9" ht="11.1" customHeight="1">
      <c r="A172" s="71"/>
      <c r="B172" s="66"/>
      <c r="C172" s="66"/>
      <c r="D172" s="66"/>
      <c r="E172" s="66"/>
      <c r="F172" s="66"/>
      <c r="G172" s="66"/>
      <c r="H172" s="66"/>
      <c r="I172" s="66"/>
    </row>
    <row r="173" spans="1:9" ht="11.1" customHeight="1">
      <c r="A173" s="71"/>
      <c r="B173" s="66"/>
      <c r="C173" s="66"/>
      <c r="D173" s="66"/>
      <c r="E173" s="66"/>
      <c r="F173" s="66"/>
      <c r="G173" s="66"/>
      <c r="H173" s="66"/>
      <c r="I173" s="66"/>
    </row>
    <row r="174" spans="1:9" ht="11.1" customHeight="1">
      <c r="A174" s="71"/>
      <c r="B174" s="66"/>
      <c r="C174" s="66"/>
      <c r="D174" s="66"/>
      <c r="E174" s="66"/>
      <c r="F174" s="66"/>
      <c r="G174" s="66"/>
      <c r="H174" s="66"/>
      <c r="I174" s="66"/>
    </row>
    <row r="175" spans="1:9" ht="11.1" customHeight="1">
      <c r="A175" s="71"/>
      <c r="B175" s="66"/>
      <c r="C175" s="66"/>
      <c r="D175" s="66"/>
      <c r="E175" s="66"/>
      <c r="F175" s="66"/>
      <c r="G175" s="66"/>
      <c r="H175" s="66"/>
      <c r="I175" s="66"/>
    </row>
    <row r="176" spans="1:9" ht="11.1" customHeight="1">
      <c r="A176" s="71"/>
      <c r="B176" s="66"/>
      <c r="C176" s="66"/>
      <c r="D176" s="66"/>
      <c r="E176" s="66"/>
      <c r="F176" s="66"/>
      <c r="G176" s="66"/>
      <c r="H176" s="66"/>
      <c r="I176" s="66"/>
    </row>
    <row r="177" spans="1:9" ht="11.1" customHeight="1">
      <c r="A177" s="71"/>
      <c r="B177" s="66"/>
      <c r="C177" s="66"/>
      <c r="D177" s="66"/>
      <c r="E177" s="66"/>
      <c r="F177" s="66"/>
      <c r="G177" s="66"/>
      <c r="H177" s="66"/>
      <c r="I177" s="66"/>
    </row>
    <row r="178" spans="1:9" ht="11.1" customHeight="1">
      <c r="A178" s="71"/>
      <c r="B178" s="66"/>
      <c r="C178" s="66"/>
      <c r="D178" s="66"/>
      <c r="E178" s="66"/>
      <c r="F178" s="66"/>
      <c r="G178" s="66"/>
      <c r="H178" s="66"/>
      <c r="I178" s="66"/>
    </row>
    <row r="179" spans="1:9" ht="11.1" customHeight="1">
      <c r="A179" s="71"/>
      <c r="B179" s="66"/>
      <c r="C179" s="66"/>
      <c r="D179" s="66"/>
      <c r="E179" s="66"/>
      <c r="F179" s="66"/>
      <c r="G179" s="66"/>
      <c r="H179" s="66"/>
      <c r="I179" s="66"/>
    </row>
    <row r="180" spans="1:9" ht="11.1" customHeight="1">
      <c r="A180" s="71"/>
      <c r="B180" s="66"/>
      <c r="C180" s="66"/>
      <c r="D180" s="66"/>
      <c r="E180" s="66"/>
      <c r="F180" s="66"/>
      <c r="G180" s="66"/>
      <c r="H180" s="66"/>
      <c r="I180" s="66"/>
    </row>
    <row r="181" spans="1:9" ht="11.1" customHeight="1">
      <c r="A181" s="71"/>
      <c r="B181" s="66"/>
      <c r="C181" s="66"/>
      <c r="D181" s="66"/>
      <c r="E181" s="66"/>
      <c r="F181" s="66"/>
      <c r="G181" s="66"/>
      <c r="H181" s="66"/>
      <c r="I181" s="66"/>
    </row>
    <row r="182" spans="1:9" ht="11.1" customHeight="1">
      <c r="A182" s="71"/>
      <c r="B182" s="66"/>
      <c r="C182" s="66"/>
      <c r="D182" s="66"/>
      <c r="E182" s="66"/>
      <c r="F182" s="66"/>
      <c r="G182" s="66"/>
      <c r="H182" s="66"/>
      <c r="I182" s="66"/>
    </row>
    <row r="183" spans="1:9" ht="11.1" customHeight="1">
      <c r="A183" s="71"/>
      <c r="B183" s="66"/>
      <c r="C183" s="66"/>
      <c r="D183" s="66"/>
      <c r="E183" s="66"/>
      <c r="F183" s="66"/>
      <c r="G183" s="66"/>
      <c r="H183" s="66"/>
      <c r="I183" s="66"/>
    </row>
    <row r="184" spans="1:9" ht="11.1" customHeight="1">
      <c r="A184" s="71"/>
      <c r="B184" s="66"/>
      <c r="C184" s="66"/>
      <c r="D184" s="66"/>
      <c r="E184" s="66"/>
      <c r="F184" s="66"/>
      <c r="G184" s="66"/>
      <c r="H184" s="66"/>
      <c r="I184" s="66"/>
    </row>
    <row r="185" spans="1:9" ht="11.1" customHeight="1">
      <c r="A185" s="71"/>
      <c r="B185" s="66"/>
      <c r="C185" s="66"/>
      <c r="D185" s="66"/>
      <c r="E185" s="66"/>
      <c r="F185" s="66"/>
      <c r="G185" s="66"/>
      <c r="H185" s="66"/>
      <c r="I185" s="66"/>
    </row>
    <row r="186" spans="1:9" ht="11.1" customHeight="1">
      <c r="A186" s="71"/>
      <c r="B186" s="66"/>
      <c r="C186" s="66"/>
      <c r="D186" s="66"/>
      <c r="E186" s="66"/>
      <c r="F186" s="66"/>
      <c r="G186" s="66"/>
      <c r="H186" s="66"/>
      <c r="I186" s="66"/>
    </row>
    <row r="187" spans="1:9" ht="11.1" customHeight="1">
      <c r="A187" s="71"/>
      <c r="B187" s="66"/>
      <c r="C187" s="66"/>
      <c r="D187" s="66"/>
      <c r="E187" s="66"/>
      <c r="F187" s="66"/>
      <c r="G187" s="66"/>
      <c r="H187" s="66"/>
      <c r="I187" s="66"/>
    </row>
    <row r="188" spans="1:9" ht="11.1" customHeight="1">
      <c r="A188" s="71"/>
      <c r="B188" s="66"/>
      <c r="C188" s="66"/>
      <c r="D188" s="66"/>
      <c r="E188" s="66"/>
      <c r="F188" s="66"/>
      <c r="G188" s="66"/>
      <c r="H188" s="66"/>
      <c r="I188" s="66"/>
    </row>
    <row r="189" spans="1:9" ht="11.1" customHeight="1">
      <c r="A189" s="71"/>
      <c r="B189" s="66"/>
      <c r="C189" s="66"/>
      <c r="D189" s="66"/>
      <c r="E189" s="66"/>
      <c r="F189" s="66"/>
      <c r="G189" s="66"/>
      <c r="H189" s="66"/>
      <c r="I189" s="66"/>
    </row>
    <row r="190" spans="1:9" ht="11.1" customHeight="1">
      <c r="A190" s="71"/>
      <c r="B190" s="66"/>
      <c r="C190" s="66"/>
      <c r="D190" s="66"/>
      <c r="E190" s="66"/>
      <c r="F190" s="66"/>
      <c r="G190" s="66"/>
      <c r="H190" s="66"/>
      <c r="I190" s="66"/>
    </row>
    <row r="191" spans="1:9" ht="11.1" customHeight="1">
      <c r="A191" s="71"/>
      <c r="B191" s="66"/>
      <c r="C191" s="66"/>
      <c r="D191" s="66"/>
      <c r="E191" s="66"/>
      <c r="F191" s="66"/>
      <c r="G191" s="66"/>
      <c r="H191" s="66"/>
      <c r="I191" s="66"/>
    </row>
    <row r="192" spans="1:9" ht="11.1" customHeight="1">
      <c r="A192" s="71"/>
      <c r="B192" s="66"/>
      <c r="C192" s="66"/>
      <c r="D192" s="66"/>
      <c r="E192" s="66"/>
      <c r="F192" s="66"/>
      <c r="G192" s="66"/>
      <c r="H192" s="66"/>
      <c r="I192" s="66"/>
    </row>
    <row r="193" spans="1:9" ht="11.1" customHeight="1">
      <c r="A193" s="71"/>
      <c r="B193" s="66"/>
      <c r="C193" s="66"/>
      <c r="D193" s="66"/>
      <c r="E193" s="66"/>
      <c r="F193" s="66"/>
      <c r="G193" s="66"/>
      <c r="H193" s="66"/>
      <c r="I193" s="66"/>
    </row>
    <row r="194" spans="1:9" ht="11.1" customHeight="1">
      <c r="A194" s="71"/>
      <c r="B194" s="66"/>
      <c r="C194" s="66"/>
      <c r="D194" s="66"/>
      <c r="E194" s="66"/>
      <c r="F194" s="66"/>
      <c r="G194" s="66"/>
      <c r="H194" s="66"/>
      <c r="I194" s="66"/>
    </row>
    <row r="195" spans="1:9" ht="11.1" customHeight="1">
      <c r="A195" s="71"/>
      <c r="B195" s="66"/>
      <c r="C195" s="66"/>
      <c r="D195" s="66"/>
      <c r="E195" s="66"/>
      <c r="F195" s="66"/>
      <c r="G195" s="66"/>
      <c r="H195" s="66"/>
      <c r="I195" s="66"/>
    </row>
    <row r="196" spans="1:9" ht="11.1" customHeight="1">
      <c r="A196" s="71"/>
      <c r="B196" s="66"/>
      <c r="C196" s="66"/>
      <c r="D196" s="66"/>
      <c r="E196" s="66"/>
      <c r="F196" s="66"/>
      <c r="G196" s="66"/>
      <c r="H196" s="66"/>
      <c r="I196" s="66"/>
    </row>
    <row r="197" spans="1:9" ht="11.1" customHeight="1">
      <c r="A197" s="71"/>
      <c r="B197" s="66"/>
      <c r="C197" s="66"/>
      <c r="D197" s="66"/>
      <c r="E197" s="66"/>
      <c r="F197" s="66"/>
      <c r="G197" s="66"/>
      <c r="H197" s="66"/>
      <c r="I197" s="66"/>
    </row>
    <row r="198" spans="1:9" ht="11.1" customHeight="1">
      <c r="A198" s="71"/>
      <c r="B198" s="66"/>
      <c r="C198" s="66"/>
      <c r="D198" s="66"/>
      <c r="E198" s="66"/>
      <c r="F198" s="66"/>
      <c r="G198" s="66"/>
      <c r="H198" s="66"/>
      <c r="I198" s="66"/>
    </row>
    <row r="199" spans="1:9" ht="11.1" customHeight="1">
      <c r="A199" s="71"/>
      <c r="B199" s="66"/>
      <c r="C199" s="66"/>
      <c r="D199" s="66"/>
      <c r="E199" s="66"/>
      <c r="F199" s="66"/>
      <c r="G199" s="66"/>
      <c r="H199" s="66"/>
      <c r="I199" s="66"/>
    </row>
    <row r="200" spans="1:9" ht="11.1" customHeight="1">
      <c r="A200" s="71"/>
      <c r="B200" s="66"/>
      <c r="C200" s="66"/>
      <c r="D200" s="66"/>
      <c r="E200" s="66"/>
      <c r="F200" s="66"/>
      <c r="G200" s="66"/>
      <c r="H200" s="66"/>
      <c r="I200" s="66"/>
    </row>
    <row r="201" spans="1:9" ht="11.1" customHeight="1">
      <c r="A201" s="71"/>
      <c r="B201" s="66"/>
      <c r="C201" s="66"/>
      <c r="D201" s="66"/>
      <c r="E201" s="66"/>
      <c r="F201" s="66"/>
      <c r="G201" s="66"/>
      <c r="H201" s="66"/>
      <c r="I201" s="66"/>
    </row>
    <row r="202" spans="1:9" ht="11.1" customHeight="1">
      <c r="A202" s="71"/>
      <c r="B202" s="66"/>
      <c r="C202" s="66"/>
      <c r="D202" s="66"/>
      <c r="E202" s="66"/>
      <c r="F202" s="66"/>
      <c r="G202" s="66"/>
      <c r="H202" s="66"/>
      <c r="I202" s="66"/>
    </row>
    <row r="203" spans="1:9" ht="11.1" customHeight="1">
      <c r="A203" s="71"/>
      <c r="B203" s="66"/>
      <c r="C203" s="66"/>
      <c r="D203" s="66"/>
      <c r="E203" s="66"/>
      <c r="F203" s="66"/>
      <c r="G203" s="66"/>
      <c r="H203" s="66"/>
      <c r="I203" s="66"/>
    </row>
    <row r="204" spans="1:9" ht="11.1" customHeight="1">
      <c r="A204" s="71"/>
      <c r="B204" s="66"/>
      <c r="C204" s="66"/>
      <c r="D204" s="66"/>
      <c r="E204" s="66"/>
      <c r="F204" s="66"/>
      <c r="G204" s="66"/>
      <c r="H204" s="66"/>
      <c r="I204" s="66"/>
    </row>
    <row r="205" spans="1:9" ht="11.1" customHeight="1">
      <c r="A205" s="71"/>
      <c r="B205" s="66"/>
      <c r="C205" s="66"/>
      <c r="D205" s="66"/>
      <c r="E205" s="66"/>
      <c r="F205" s="66"/>
      <c r="G205" s="66"/>
      <c r="H205" s="66"/>
      <c r="I205" s="66"/>
    </row>
    <row r="206" spans="1:9" ht="11.1" customHeight="1">
      <c r="A206" s="71"/>
      <c r="B206" s="66"/>
      <c r="C206" s="66"/>
      <c r="D206" s="66"/>
      <c r="E206" s="66"/>
      <c r="F206" s="66"/>
      <c r="G206" s="66"/>
      <c r="H206" s="66"/>
      <c r="I206" s="66"/>
    </row>
    <row r="207" spans="1:9" ht="11.1" customHeight="1">
      <c r="A207" s="71"/>
      <c r="B207" s="66"/>
      <c r="C207" s="66"/>
      <c r="D207" s="66"/>
      <c r="E207" s="66"/>
      <c r="F207" s="66"/>
      <c r="G207" s="66"/>
      <c r="H207" s="66"/>
      <c r="I207" s="66"/>
    </row>
    <row r="208" spans="1:9" ht="11.1" customHeight="1">
      <c r="A208" s="71"/>
      <c r="B208" s="66"/>
      <c r="C208" s="66"/>
      <c r="D208" s="66"/>
      <c r="E208" s="66"/>
      <c r="F208" s="66"/>
      <c r="G208" s="66"/>
      <c r="H208" s="66"/>
      <c r="I208" s="66"/>
    </row>
    <row r="209" spans="1:9" ht="11.1" customHeight="1">
      <c r="A209" s="71"/>
      <c r="B209" s="66"/>
      <c r="C209" s="66"/>
      <c r="D209" s="66"/>
      <c r="E209" s="66"/>
      <c r="F209" s="66"/>
      <c r="G209" s="66"/>
      <c r="H209" s="66"/>
      <c r="I209" s="66"/>
    </row>
    <row r="210" spans="1:9" ht="11.1" customHeight="1">
      <c r="A210" s="71"/>
      <c r="B210" s="66"/>
      <c r="C210" s="66"/>
      <c r="D210" s="66"/>
      <c r="E210" s="66"/>
      <c r="F210" s="66"/>
      <c r="G210" s="66"/>
      <c r="H210" s="66"/>
      <c r="I210" s="66"/>
    </row>
    <row r="211" spans="1:9" ht="11.1" customHeight="1">
      <c r="A211" s="71"/>
      <c r="B211" s="66"/>
      <c r="C211" s="66"/>
      <c r="D211" s="66"/>
      <c r="E211" s="66"/>
      <c r="F211" s="66"/>
      <c r="G211" s="66"/>
      <c r="H211" s="66"/>
      <c r="I211" s="66"/>
    </row>
    <row r="212" spans="1:9" ht="11.1" customHeight="1">
      <c r="A212" s="71"/>
      <c r="B212" s="66"/>
      <c r="C212" s="66"/>
      <c r="D212" s="66"/>
      <c r="E212" s="66"/>
      <c r="F212" s="66"/>
      <c r="G212" s="66"/>
      <c r="H212" s="66"/>
      <c r="I212" s="66"/>
    </row>
    <row r="213" spans="1:9" ht="11.1" customHeight="1">
      <c r="A213" s="71"/>
      <c r="B213" s="66"/>
      <c r="C213" s="66"/>
      <c r="D213" s="66"/>
      <c r="E213" s="66"/>
      <c r="F213" s="66"/>
      <c r="G213" s="66"/>
      <c r="H213" s="66"/>
      <c r="I213" s="66"/>
    </row>
    <row r="214" spans="1:9" ht="11.1" customHeight="1">
      <c r="A214" s="71"/>
      <c r="B214" s="66"/>
      <c r="C214" s="66"/>
      <c r="D214" s="66"/>
      <c r="E214" s="66"/>
      <c r="F214" s="66"/>
      <c r="G214" s="66"/>
      <c r="H214" s="66"/>
      <c r="I214" s="66"/>
    </row>
    <row r="215" spans="1:9" ht="11.1" customHeight="1">
      <c r="A215" s="71"/>
      <c r="B215" s="66"/>
      <c r="C215" s="66"/>
      <c r="D215" s="66"/>
      <c r="E215" s="66"/>
      <c r="F215" s="66"/>
      <c r="G215" s="66"/>
      <c r="H215" s="66"/>
      <c r="I215" s="66"/>
    </row>
    <row r="216" spans="1:9" ht="11.1" customHeight="1">
      <c r="A216" s="71"/>
      <c r="B216" s="66"/>
      <c r="C216" s="66"/>
      <c r="D216" s="66"/>
      <c r="E216" s="66"/>
      <c r="F216" s="66"/>
      <c r="G216" s="66"/>
      <c r="H216" s="66"/>
      <c r="I216" s="66"/>
    </row>
    <row r="217" spans="1:9" ht="11.1" customHeight="1">
      <c r="A217" s="71"/>
      <c r="B217" s="66"/>
      <c r="C217" s="66"/>
      <c r="D217" s="66"/>
      <c r="E217" s="66"/>
      <c r="F217" s="66"/>
      <c r="G217" s="66"/>
      <c r="H217" s="66"/>
      <c r="I217" s="66"/>
    </row>
    <row r="218" spans="1:9" ht="11.1" customHeight="1">
      <c r="A218" s="71"/>
      <c r="B218" s="66"/>
      <c r="C218" s="66"/>
      <c r="D218" s="66"/>
      <c r="E218" s="66"/>
      <c r="F218" s="66"/>
      <c r="G218" s="66"/>
      <c r="H218" s="66"/>
      <c r="I218" s="66"/>
    </row>
    <row r="219" spans="1:9" ht="11.1" customHeight="1">
      <c r="A219" s="71"/>
      <c r="B219" s="66"/>
      <c r="C219" s="66"/>
      <c r="D219" s="66"/>
      <c r="E219" s="66"/>
      <c r="F219" s="66"/>
      <c r="G219" s="66"/>
      <c r="H219" s="66"/>
      <c r="I219" s="66"/>
    </row>
    <row r="220" spans="1:9" ht="11.1" customHeight="1">
      <c r="A220" s="71"/>
      <c r="B220" s="66"/>
      <c r="C220" s="66"/>
      <c r="D220" s="66"/>
      <c r="E220" s="66"/>
      <c r="F220" s="66"/>
      <c r="G220" s="66"/>
      <c r="H220" s="66"/>
      <c r="I220" s="66"/>
    </row>
    <row r="221" spans="1:9" ht="11.1" customHeight="1">
      <c r="A221" s="71"/>
      <c r="B221" s="66"/>
      <c r="C221" s="66"/>
      <c r="D221" s="66"/>
      <c r="E221" s="66"/>
      <c r="F221" s="66"/>
      <c r="G221" s="66"/>
      <c r="H221" s="66"/>
      <c r="I221" s="66"/>
    </row>
    <row r="222" spans="1:9" ht="11.1" customHeight="1">
      <c r="A222" s="71"/>
      <c r="B222" s="66"/>
      <c r="C222" s="66"/>
      <c r="D222" s="66"/>
      <c r="E222" s="66"/>
      <c r="F222" s="66"/>
      <c r="G222" s="66"/>
      <c r="H222" s="66"/>
      <c r="I222" s="66"/>
    </row>
    <row r="223" spans="1:9" ht="11.1" customHeight="1">
      <c r="A223" s="71"/>
      <c r="B223" s="66"/>
      <c r="C223" s="66"/>
      <c r="D223" s="66"/>
      <c r="E223" s="66"/>
      <c r="F223" s="66"/>
      <c r="G223" s="66"/>
      <c r="H223" s="66"/>
      <c r="I223" s="66"/>
    </row>
    <row r="224" spans="1:9" ht="11.1" customHeight="1">
      <c r="A224" s="71"/>
      <c r="B224" s="66"/>
      <c r="C224" s="66"/>
      <c r="D224" s="66"/>
      <c r="E224" s="66"/>
      <c r="F224" s="66"/>
      <c r="G224" s="66"/>
      <c r="H224" s="66"/>
      <c r="I224" s="66"/>
    </row>
    <row r="225" spans="1:9" ht="11.1" customHeight="1">
      <c r="A225" s="71"/>
      <c r="B225" s="66"/>
      <c r="C225" s="66"/>
      <c r="D225" s="66"/>
      <c r="E225" s="66"/>
      <c r="F225" s="66"/>
      <c r="G225" s="66"/>
      <c r="H225" s="66"/>
      <c r="I225" s="66"/>
    </row>
    <row r="226" spans="1:9" ht="11.1" customHeight="1">
      <c r="A226" s="71"/>
      <c r="B226" s="66"/>
      <c r="C226" s="66"/>
      <c r="D226" s="66"/>
      <c r="E226" s="66"/>
      <c r="F226" s="66"/>
      <c r="G226" s="66"/>
      <c r="H226" s="66"/>
      <c r="I226" s="66"/>
    </row>
    <row r="227" spans="1:9" ht="11.1" customHeight="1">
      <c r="A227" s="71"/>
      <c r="B227" s="66"/>
      <c r="C227" s="66"/>
      <c r="D227" s="66"/>
      <c r="E227" s="66"/>
      <c r="F227" s="66"/>
      <c r="G227" s="66"/>
      <c r="H227" s="66"/>
      <c r="I227" s="66"/>
    </row>
    <row r="228" spans="1:9" ht="11.1" customHeight="1">
      <c r="A228" s="71"/>
      <c r="B228" s="66"/>
      <c r="C228" s="66"/>
      <c r="D228" s="66"/>
      <c r="E228" s="66"/>
      <c r="F228" s="66"/>
      <c r="G228" s="66"/>
      <c r="H228" s="66"/>
      <c r="I228" s="66"/>
    </row>
    <row r="229" spans="1:9" ht="11.1" customHeight="1">
      <c r="A229" s="71"/>
      <c r="B229" s="66"/>
      <c r="C229" s="66"/>
      <c r="D229" s="66"/>
      <c r="E229" s="66"/>
      <c r="F229" s="66"/>
      <c r="G229" s="66"/>
      <c r="H229" s="66"/>
      <c r="I229" s="66"/>
    </row>
    <row r="230" spans="1:9" ht="11.1" customHeight="1">
      <c r="A230" s="71"/>
      <c r="B230" s="66"/>
      <c r="C230" s="66"/>
      <c r="D230" s="66"/>
      <c r="E230" s="66"/>
      <c r="F230" s="66"/>
      <c r="G230" s="66"/>
      <c r="H230" s="66"/>
      <c r="I230" s="66"/>
    </row>
    <row r="231" spans="1:9" ht="11.1" customHeight="1">
      <c r="A231" s="71"/>
      <c r="B231" s="66"/>
      <c r="C231" s="66"/>
      <c r="D231" s="66"/>
      <c r="E231" s="66"/>
      <c r="F231" s="66"/>
      <c r="G231" s="66"/>
      <c r="H231" s="66"/>
      <c r="I231" s="66"/>
    </row>
    <row r="232" spans="1:9" ht="11.1" customHeight="1">
      <c r="A232" s="71"/>
      <c r="B232" s="66"/>
      <c r="C232" s="66"/>
      <c r="D232" s="66"/>
      <c r="E232" s="66"/>
      <c r="F232" s="66"/>
      <c r="G232" s="66"/>
      <c r="H232" s="66"/>
      <c r="I232" s="66"/>
    </row>
    <row r="233" spans="1:9" ht="11.1" customHeight="1">
      <c r="A233" s="71"/>
      <c r="B233" s="66"/>
      <c r="C233" s="66"/>
      <c r="D233" s="66"/>
      <c r="E233" s="66"/>
      <c r="F233" s="66"/>
      <c r="G233" s="66"/>
      <c r="H233" s="66"/>
      <c r="I233" s="66"/>
    </row>
    <row r="234" spans="1:9" ht="11.1" customHeight="1">
      <c r="A234" s="71"/>
      <c r="B234" s="66"/>
      <c r="C234" s="66"/>
      <c r="D234" s="66"/>
      <c r="E234" s="66"/>
      <c r="F234" s="66"/>
      <c r="G234" s="66"/>
      <c r="H234" s="66"/>
      <c r="I234" s="66"/>
    </row>
    <row r="235" spans="1:9" ht="11.1" customHeight="1">
      <c r="A235" s="71"/>
      <c r="B235" s="66"/>
      <c r="C235" s="66"/>
      <c r="D235" s="66"/>
      <c r="E235" s="66"/>
      <c r="F235" s="66"/>
      <c r="G235" s="66"/>
      <c r="H235" s="66"/>
      <c r="I235" s="66"/>
    </row>
    <row r="236" spans="1:9" ht="11.1" customHeight="1">
      <c r="A236" s="71"/>
      <c r="B236" s="66"/>
      <c r="C236" s="66"/>
      <c r="D236" s="66"/>
      <c r="E236" s="66"/>
      <c r="F236" s="66"/>
      <c r="G236" s="66"/>
      <c r="H236" s="66"/>
      <c r="I236" s="66"/>
    </row>
    <row r="237" spans="1:9" ht="11.1" customHeight="1">
      <c r="A237" s="71"/>
      <c r="B237" s="66"/>
      <c r="C237" s="66"/>
      <c r="D237" s="66"/>
      <c r="E237" s="66"/>
      <c r="F237" s="66"/>
      <c r="G237" s="66"/>
      <c r="H237" s="66"/>
      <c r="I237" s="66"/>
    </row>
    <row r="238" spans="1:9" ht="11.1" customHeight="1">
      <c r="A238" s="71"/>
      <c r="B238" s="66"/>
      <c r="C238" s="66"/>
      <c r="D238" s="66"/>
      <c r="E238" s="66"/>
      <c r="F238" s="66"/>
      <c r="G238" s="66"/>
      <c r="H238" s="66"/>
      <c r="I238" s="66"/>
    </row>
    <row r="239" spans="1:9" ht="11.1" customHeight="1">
      <c r="A239" s="71"/>
      <c r="B239" s="66"/>
      <c r="C239" s="66"/>
      <c r="D239" s="66"/>
      <c r="E239" s="66"/>
      <c r="F239" s="66"/>
      <c r="G239" s="66"/>
      <c r="H239" s="66"/>
      <c r="I239" s="66"/>
    </row>
    <row r="240" spans="1:9" ht="11.1" customHeight="1">
      <c r="A240" s="71"/>
      <c r="B240" s="66"/>
      <c r="C240" s="66"/>
      <c r="D240" s="66"/>
      <c r="E240" s="66"/>
      <c r="F240" s="66"/>
      <c r="G240" s="66"/>
      <c r="H240" s="66"/>
      <c r="I240" s="66"/>
    </row>
    <row r="241" spans="1:9" ht="11.1" customHeight="1">
      <c r="A241" s="71"/>
      <c r="B241" s="66"/>
      <c r="C241" s="66"/>
      <c r="D241" s="66"/>
      <c r="E241" s="66"/>
      <c r="F241" s="66"/>
      <c r="G241" s="66"/>
      <c r="H241" s="66"/>
      <c r="I241" s="66"/>
    </row>
    <row r="242" spans="1:9" ht="11.1" customHeight="1">
      <c r="A242" s="71"/>
      <c r="B242" s="66"/>
      <c r="C242" s="66"/>
      <c r="D242" s="66"/>
      <c r="E242" s="66"/>
      <c r="F242" s="66"/>
      <c r="G242" s="66"/>
      <c r="H242" s="66"/>
      <c r="I242" s="66"/>
    </row>
    <row r="243" spans="1:9" ht="11.1" customHeight="1">
      <c r="A243" s="71"/>
      <c r="B243" s="66"/>
      <c r="C243" s="66"/>
      <c r="D243" s="66"/>
      <c r="E243" s="66"/>
      <c r="F243" s="66"/>
      <c r="G243" s="66"/>
      <c r="H243" s="66"/>
      <c r="I243" s="66"/>
    </row>
    <row r="244" spans="1:9" ht="11.1" customHeight="1">
      <c r="A244" s="71"/>
      <c r="B244" s="66"/>
      <c r="C244" s="66"/>
      <c r="D244" s="66"/>
      <c r="E244" s="66"/>
      <c r="F244" s="66"/>
      <c r="G244" s="66"/>
      <c r="H244" s="66"/>
      <c r="I244" s="66"/>
    </row>
    <row r="245" spans="1:9" ht="11.1" customHeight="1">
      <c r="A245" s="71"/>
      <c r="B245" s="66"/>
      <c r="C245" s="66"/>
      <c r="D245" s="66"/>
      <c r="E245" s="66"/>
      <c r="F245" s="66"/>
      <c r="G245" s="66"/>
      <c r="H245" s="66"/>
      <c r="I245" s="66"/>
    </row>
    <row r="246" spans="1:9" ht="11.1" customHeight="1">
      <c r="A246" s="71"/>
      <c r="B246" s="66"/>
      <c r="C246" s="66"/>
      <c r="D246" s="66"/>
      <c r="E246" s="66"/>
      <c r="F246" s="66"/>
      <c r="G246" s="66"/>
      <c r="H246" s="66"/>
      <c r="I246" s="66"/>
    </row>
    <row r="247" spans="1:9" ht="11.1" customHeight="1">
      <c r="A247" s="71"/>
      <c r="B247" s="66"/>
      <c r="C247" s="66"/>
      <c r="D247" s="66"/>
      <c r="E247" s="66"/>
      <c r="F247" s="66"/>
      <c r="G247" s="66"/>
      <c r="H247" s="66"/>
      <c r="I247" s="66"/>
    </row>
    <row r="248" spans="1:9" ht="11.1" customHeight="1">
      <c r="A248" s="71"/>
      <c r="B248" s="66"/>
      <c r="C248" s="66"/>
      <c r="D248" s="66"/>
      <c r="E248" s="66"/>
      <c r="F248" s="66"/>
      <c r="G248" s="66"/>
      <c r="H248" s="66"/>
      <c r="I248" s="66"/>
    </row>
    <row r="249" spans="1:9" ht="11.1" customHeight="1">
      <c r="A249" s="71"/>
      <c r="B249" s="66"/>
      <c r="C249" s="66"/>
      <c r="D249" s="66"/>
      <c r="E249" s="66"/>
      <c r="F249" s="66"/>
      <c r="G249" s="66"/>
      <c r="H249" s="66"/>
      <c r="I249" s="66"/>
    </row>
    <row r="250" spans="1:9" ht="11.1" customHeight="1">
      <c r="A250" s="71"/>
      <c r="B250" s="66"/>
      <c r="C250" s="66"/>
      <c r="D250" s="66"/>
      <c r="E250" s="66"/>
      <c r="F250" s="66"/>
      <c r="G250" s="66"/>
      <c r="H250" s="66"/>
      <c r="I250" s="66"/>
    </row>
    <row r="251" spans="1:9" ht="11.1" customHeight="1">
      <c r="A251" s="71"/>
      <c r="B251" s="66"/>
      <c r="C251" s="66"/>
      <c r="D251" s="66"/>
      <c r="E251" s="66"/>
      <c r="F251" s="66"/>
      <c r="G251" s="66"/>
      <c r="H251" s="66"/>
      <c r="I251" s="66"/>
    </row>
    <row r="252" spans="1:9" ht="11.1" customHeight="1">
      <c r="A252" s="71"/>
      <c r="B252" s="66"/>
      <c r="C252" s="66"/>
      <c r="D252" s="66"/>
      <c r="E252" s="66"/>
      <c r="F252" s="66"/>
      <c r="G252" s="66"/>
      <c r="H252" s="66"/>
      <c r="I252" s="66"/>
    </row>
    <row r="253" spans="1:9" ht="11.1" customHeight="1">
      <c r="A253" s="71"/>
      <c r="B253" s="66"/>
      <c r="C253" s="66"/>
      <c r="D253" s="66"/>
      <c r="E253" s="66"/>
      <c r="F253" s="66"/>
      <c r="G253" s="66"/>
      <c r="H253" s="66"/>
      <c r="I253" s="66"/>
    </row>
    <row r="254" spans="1:9" ht="11.1" customHeight="1">
      <c r="A254" s="71"/>
      <c r="B254" s="66"/>
      <c r="C254" s="66"/>
      <c r="D254" s="66"/>
      <c r="E254" s="66"/>
      <c r="F254" s="66"/>
      <c r="G254" s="66"/>
      <c r="H254" s="66"/>
      <c r="I254" s="66"/>
    </row>
    <row r="255" spans="1:9" ht="11.1" customHeight="1">
      <c r="A255" s="71"/>
      <c r="B255" s="66"/>
      <c r="C255" s="66"/>
      <c r="D255" s="66"/>
      <c r="E255" s="66"/>
      <c r="F255" s="66"/>
      <c r="G255" s="66"/>
      <c r="H255" s="66"/>
      <c r="I255" s="66"/>
    </row>
    <row r="256" spans="1:9" ht="11.1" customHeight="1">
      <c r="A256" s="71"/>
      <c r="B256" s="66"/>
      <c r="C256" s="66"/>
      <c r="D256" s="66"/>
      <c r="E256" s="66"/>
      <c r="F256" s="66"/>
      <c r="G256" s="66"/>
      <c r="H256" s="66"/>
      <c r="I256" s="66"/>
    </row>
    <row r="257" spans="1:9" ht="11.1" customHeight="1">
      <c r="A257" s="71"/>
      <c r="B257" s="66"/>
      <c r="C257" s="66"/>
      <c r="D257" s="66"/>
      <c r="E257" s="66"/>
      <c r="F257" s="66"/>
      <c r="G257" s="66"/>
      <c r="H257" s="66"/>
      <c r="I257" s="66"/>
    </row>
    <row r="258" spans="1:9" ht="11.1" customHeight="1">
      <c r="A258" s="71"/>
      <c r="B258" s="66"/>
      <c r="C258" s="66"/>
      <c r="D258" s="66"/>
      <c r="E258" s="66"/>
      <c r="F258" s="66"/>
      <c r="G258" s="66"/>
      <c r="H258" s="66"/>
      <c r="I258" s="66"/>
    </row>
    <row r="259" spans="1:9" ht="11.1" customHeight="1">
      <c r="A259" s="71"/>
      <c r="B259" s="66"/>
      <c r="C259" s="66"/>
      <c r="D259" s="66"/>
      <c r="E259" s="66"/>
      <c r="F259" s="66"/>
      <c r="G259" s="66"/>
      <c r="H259" s="66"/>
      <c r="I259" s="66"/>
    </row>
    <row r="260" spans="1:9" ht="11.1" customHeight="1">
      <c r="A260" s="71"/>
      <c r="B260" s="66"/>
      <c r="C260" s="66"/>
      <c r="D260" s="66"/>
      <c r="E260" s="66"/>
      <c r="F260" s="66"/>
      <c r="G260" s="66"/>
      <c r="H260" s="66"/>
      <c r="I260" s="66"/>
    </row>
    <row r="261" spans="1:9" ht="11.1" customHeight="1">
      <c r="A261" s="71"/>
      <c r="B261" s="66"/>
      <c r="C261" s="66"/>
      <c r="D261" s="66"/>
      <c r="E261" s="66"/>
      <c r="F261" s="66"/>
      <c r="G261" s="66"/>
      <c r="H261" s="66"/>
      <c r="I261" s="66"/>
    </row>
    <row r="262" spans="1:9" ht="11.1" customHeight="1">
      <c r="A262" s="71"/>
      <c r="B262" s="66"/>
      <c r="C262" s="66"/>
      <c r="D262" s="66"/>
      <c r="E262" s="66"/>
      <c r="F262" s="66"/>
      <c r="G262" s="66"/>
      <c r="H262" s="66"/>
      <c r="I262" s="66"/>
    </row>
    <row r="263" spans="1:9" ht="11.1" customHeight="1">
      <c r="A263" s="71"/>
      <c r="B263" s="66"/>
      <c r="C263" s="66"/>
      <c r="D263" s="66"/>
      <c r="E263" s="66"/>
      <c r="F263" s="66"/>
      <c r="G263" s="66"/>
      <c r="H263" s="66"/>
      <c r="I263" s="66"/>
    </row>
    <row r="264" spans="1:9" ht="11.1" customHeight="1">
      <c r="A264" s="71"/>
      <c r="B264" s="66"/>
      <c r="C264" s="66"/>
      <c r="D264" s="66"/>
      <c r="E264" s="66"/>
      <c r="F264" s="66"/>
      <c r="G264" s="66"/>
      <c r="H264" s="66"/>
      <c r="I264" s="66"/>
    </row>
    <row r="265" spans="1:9" ht="11.1" customHeight="1">
      <c r="A265" s="71"/>
      <c r="B265" s="66"/>
      <c r="C265" s="66"/>
      <c r="D265" s="66"/>
      <c r="E265" s="66"/>
      <c r="F265" s="66"/>
      <c r="G265" s="66"/>
      <c r="H265" s="66"/>
      <c r="I265" s="66"/>
    </row>
    <row r="266" spans="1:9" ht="11.1" customHeight="1">
      <c r="A266" s="71"/>
      <c r="B266" s="66"/>
      <c r="C266" s="66"/>
      <c r="D266" s="66"/>
      <c r="E266" s="66"/>
      <c r="F266" s="66"/>
      <c r="G266" s="66"/>
      <c r="H266" s="66"/>
      <c r="I266" s="66"/>
    </row>
    <row r="267" spans="1:9" ht="11.1" customHeight="1">
      <c r="A267" s="71"/>
      <c r="B267" s="66"/>
      <c r="C267" s="66"/>
      <c r="D267" s="66"/>
      <c r="E267" s="66"/>
      <c r="F267" s="66"/>
      <c r="G267" s="66"/>
      <c r="H267" s="66"/>
      <c r="I267" s="66"/>
    </row>
    <row r="268" spans="1:9" ht="11.1" customHeight="1">
      <c r="A268" s="71"/>
      <c r="B268" s="66"/>
      <c r="C268" s="66"/>
      <c r="D268" s="66"/>
      <c r="E268" s="66"/>
      <c r="F268" s="66"/>
      <c r="G268" s="66"/>
      <c r="H268" s="66"/>
      <c r="I268" s="66"/>
    </row>
    <row r="269" spans="1:9" ht="11.1" customHeight="1">
      <c r="A269" s="71"/>
      <c r="B269" s="66"/>
      <c r="C269" s="66"/>
      <c r="D269" s="66"/>
      <c r="E269" s="66"/>
      <c r="F269" s="66"/>
      <c r="G269" s="66"/>
      <c r="H269" s="66"/>
      <c r="I269" s="66"/>
    </row>
    <row r="270" spans="1:9" ht="11.1" customHeight="1">
      <c r="A270" s="71"/>
      <c r="B270" s="66"/>
      <c r="C270" s="66"/>
      <c r="D270" s="66"/>
      <c r="E270" s="66"/>
      <c r="F270" s="66"/>
      <c r="G270" s="66"/>
      <c r="H270" s="66"/>
      <c r="I270" s="66"/>
    </row>
    <row r="271" spans="1:9" ht="11.1" customHeight="1">
      <c r="A271" s="71"/>
      <c r="B271" s="66"/>
      <c r="C271" s="66"/>
      <c r="D271" s="66"/>
      <c r="E271" s="66"/>
      <c r="F271" s="66"/>
      <c r="G271" s="66"/>
      <c r="H271" s="66"/>
      <c r="I271" s="66"/>
    </row>
    <row r="272" spans="1:9" ht="11.1" customHeight="1">
      <c r="A272" s="71"/>
      <c r="B272" s="66"/>
      <c r="C272" s="66"/>
      <c r="D272" s="66"/>
      <c r="E272" s="66"/>
      <c r="F272" s="66"/>
      <c r="G272" s="66"/>
      <c r="H272" s="66"/>
      <c r="I272" s="66"/>
    </row>
    <row r="273" spans="1:9" ht="11.1" customHeight="1">
      <c r="A273" s="71"/>
      <c r="B273" s="66"/>
      <c r="C273" s="66"/>
      <c r="D273" s="66"/>
      <c r="E273" s="66"/>
      <c r="F273" s="66"/>
      <c r="G273" s="66"/>
      <c r="H273" s="66"/>
      <c r="I273" s="66"/>
    </row>
    <row r="274" spans="1:9" ht="11.1" customHeight="1">
      <c r="A274" s="71"/>
      <c r="B274" s="66"/>
      <c r="C274" s="66"/>
      <c r="D274" s="66"/>
      <c r="E274" s="66"/>
      <c r="F274" s="66"/>
      <c r="G274" s="66"/>
      <c r="H274" s="66"/>
      <c r="I274" s="66"/>
    </row>
    <row r="275" spans="1:9" ht="11.1" customHeight="1">
      <c r="A275" s="71"/>
      <c r="B275" s="66"/>
      <c r="C275" s="66"/>
      <c r="D275" s="66"/>
      <c r="E275" s="66"/>
      <c r="F275" s="66"/>
      <c r="G275" s="66"/>
      <c r="H275" s="66"/>
      <c r="I275" s="66"/>
    </row>
    <row r="276" spans="1:9" ht="11.1" customHeight="1">
      <c r="A276" s="71"/>
      <c r="B276" s="66"/>
      <c r="C276" s="66"/>
      <c r="D276" s="66"/>
      <c r="E276" s="66"/>
      <c r="F276" s="66"/>
      <c r="G276" s="66"/>
      <c r="H276" s="66"/>
      <c r="I276" s="66"/>
    </row>
    <row r="277" spans="1:9" ht="11.1" customHeight="1">
      <c r="A277" s="71"/>
      <c r="B277" s="66"/>
      <c r="C277" s="66"/>
      <c r="D277" s="66"/>
      <c r="E277" s="66"/>
      <c r="F277" s="66"/>
      <c r="G277" s="66"/>
      <c r="H277" s="66"/>
      <c r="I277" s="66"/>
    </row>
    <row r="278" spans="1:9" ht="11.1" customHeight="1">
      <c r="A278" s="71"/>
      <c r="B278" s="66"/>
      <c r="C278" s="66"/>
      <c r="D278" s="66"/>
      <c r="E278" s="66"/>
      <c r="F278" s="66"/>
      <c r="G278" s="66"/>
      <c r="H278" s="66"/>
      <c r="I278" s="66"/>
    </row>
    <row r="279" spans="1:9" ht="11.1" customHeight="1">
      <c r="A279" s="71"/>
      <c r="B279" s="66"/>
      <c r="C279" s="66"/>
      <c r="D279" s="66"/>
      <c r="E279" s="66"/>
      <c r="F279" s="66"/>
      <c r="G279" s="66"/>
      <c r="H279" s="66"/>
      <c r="I279" s="66"/>
    </row>
    <row r="280" spans="1:9" ht="11.1" customHeight="1">
      <c r="A280" s="71"/>
      <c r="B280" s="66"/>
      <c r="C280" s="66"/>
      <c r="D280" s="66"/>
      <c r="E280" s="66"/>
      <c r="F280" s="66"/>
      <c r="G280" s="66"/>
      <c r="H280" s="66"/>
      <c r="I280" s="66"/>
    </row>
    <row r="281" spans="1:9" ht="11.1" customHeight="1">
      <c r="A281" s="71"/>
      <c r="B281" s="66"/>
      <c r="C281" s="66"/>
      <c r="D281" s="66"/>
      <c r="E281" s="66"/>
      <c r="F281" s="66"/>
      <c r="G281" s="66"/>
      <c r="H281" s="66"/>
      <c r="I281" s="66"/>
    </row>
    <row r="282" spans="1:9" ht="11.1" customHeight="1">
      <c r="A282" s="71"/>
      <c r="B282" s="66"/>
      <c r="C282" s="66"/>
      <c r="D282" s="66"/>
      <c r="E282" s="66"/>
      <c r="F282" s="66"/>
      <c r="G282" s="66"/>
      <c r="H282" s="66"/>
      <c r="I282" s="66"/>
    </row>
    <row r="283" spans="1:9" ht="11.1" customHeight="1">
      <c r="A283" s="71"/>
      <c r="B283" s="66"/>
      <c r="C283" s="66"/>
      <c r="D283" s="66"/>
      <c r="E283" s="66"/>
      <c r="F283" s="66"/>
      <c r="G283" s="66"/>
      <c r="H283" s="66"/>
      <c r="I283" s="66"/>
    </row>
    <row r="284" spans="1:9" ht="11.1" customHeight="1">
      <c r="A284" s="71"/>
      <c r="B284" s="66"/>
      <c r="C284" s="66"/>
      <c r="D284" s="66"/>
      <c r="E284" s="66"/>
      <c r="F284" s="66"/>
      <c r="G284" s="66"/>
      <c r="H284" s="66"/>
      <c r="I284" s="66"/>
    </row>
    <row r="285" spans="1:9" ht="11.1" customHeight="1">
      <c r="A285" s="71"/>
      <c r="B285" s="66"/>
      <c r="C285" s="66"/>
      <c r="D285" s="66"/>
      <c r="E285" s="66"/>
      <c r="F285" s="66"/>
      <c r="G285" s="66"/>
      <c r="H285" s="66"/>
      <c r="I285" s="66"/>
    </row>
    <row r="286" spans="1:9" ht="11.1" customHeight="1">
      <c r="A286" s="71"/>
      <c r="B286" s="66"/>
      <c r="C286" s="66"/>
      <c r="D286" s="66"/>
      <c r="E286" s="66"/>
      <c r="F286" s="66"/>
      <c r="G286" s="66"/>
      <c r="H286" s="66"/>
      <c r="I286" s="66"/>
    </row>
    <row r="287" spans="1:9" ht="11.1" customHeight="1">
      <c r="A287" s="71"/>
      <c r="B287" s="66"/>
      <c r="C287" s="66"/>
      <c r="D287" s="66"/>
      <c r="E287" s="66"/>
      <c r="F287" s="66"/>
      <c r="G287" s="66"/>
      <c r="H287" s="66"/>
      <c r="I287" s="66"/>
    </row>
    <row r="288" spans="1:9" ht="11.1" customHeight="1">
      <c r="A288" s="71"/>
      <c r="B288" s="66"/>
      <c r="C288" s="66"/>
      <c r="D288" s="66"/>
      <c r="E288" s="66"/>
      <c r="F288" s="66"/>
      <c r="G288" s="66"/>
      <c r="H288" s="66"/>
      <c r="I288" s="66"/>
    </row>
    <row r="289" spans="1:9" ht="11.1" customHeight="1">
      <c r="A289" s="71"/>
      <c r="B289" s="66"/>
      <c r="C289" s="66"/>
      <c r="D289" s="66"/>
      <c r="E289" s="66"/>
      <c r="F289" s="66"/>
      <c r="G289" s="66"/>
      <c r="H289" s="66"/>
      <c r="I289" s="66"/>
    </row>
    <row r="290" spans="1:9" ht="11.1" customHeight="1">
      <c r="A290" s="71"/>
      <c r="B290" s="66"/>
      <c r="C290" s="66"/>
      <c r="D290" s="66"/>
      <c r="E290" s="66"/>
      <c r="F290" s="66"/>
      <c r="G290" s="66"/>
      <c r="H290" s="66"/>
      <c r="I290" s="66"/>
    </row>
    <row r="291" spans="1:9" ht="11.1" customHeight="1">
      <c r="A291" s="71"/>
      <c r="B291" s="66"/>
      <c r="C291" s="66"/>
      <c r="D291" s="66"/>
      <c r="E291" s="66"/>
      <c r="F291" s="66"/>
      <c r="G291" s="66"/>
      <c r="H291" s="66"/>
      <c r="I291" s="66"/>
    </row>
    <row r="292" spans="1:9" ht="11.1" customHeight="1">
      <c r="A292" s="71"/>
      <c r="B292" s="66"/>
      <c r="C292" s="66"/>
      <c r="D292" s="66"/>
      <c r="E292" s="66"/>
      <c r="F292" s="66"/>
      <c r="G292" s="66"/>
      <c r="H292" s="66"/>
      <c r="I292" s="66"/>
    </row>
    <row r="293" spans="1:9" ht="11.1" customHeight="1">
      <c r="A293" s="71"/>
      <c r="B293" s="66"/>
      <c r="C293" s="66"/>
      <c r="D293" s="66"/>
      <c r="E293" s="66"/>
      <c r="F293" s="66"/>
      <c r="G293" s="66"/>
      <c r="H293" s="66"/>
      <c r="I293" s="66"/>
    </row>
    <row r="294" spans="1:9" ht="11.1" customHeight="1">
      <c r="A294" s="71"/>
      <c r="B294" s="66"/>
      <c r="C294" s="66"/>
      <c r="D294" s="66"/>
      <c r="E294" s="66"/>
      <c r="F294" s="66"/>
      <c r="G294" s="66"/>
      <c r="H294" s="66"/>
      <c r="I294" s="66"/>
    </row>
    <row r="295" spans="1:9" ht="11.1" customHeight="1">
      <c r="A295" s="71"/>
      <c r="B295" s="66"/>
      <c r="C295" s="66"/>
      <c r="D295" s="66"/>
      <c r="E295" s="66"/>
      <c r="F295" s="66"/>
      <c r="G295" s="66"/>
      <c r="H295" s="66"/>
      <c r="I295" s="66"/>
    </row>
    <row r="296" spans="1:9" ht="11.1" customHeight="1">
      <c r="A296" s="71"/>
      <c r="B296" s="66"/>
      <c r="C296" s="66"/>
      <c r="D296" s="66"/>
      <c r="E296" s="66"/>
      <c r="F296" s="66"/>
      <c r="G296" s="66"/>
      <c r="H296" s="66"/>
      <c r="I296" s="66"/>
    </row>
    <row r="297" spans="1:9" ht="11.1" customHeight="1">
      <c r="A297" s="71"/>
      <c r="B297" s="66"/>
      <c r="C297" s="66"/>
      <c r="D297" s="66"/>
      <c r="E297" s="66"/>
      <c r="F297" s="66"/>
      <c r="G297" s="66"/>
      <c r="H297" s="66"/>
      <c r="I297" s="66"/>
    </row>
    <row r="298" spans="1:9" ht="11.1" customHeight="1">
      <c r="A298" s="71"/>
      <c r="B298" s="66"/>
      <c r="C298" s="66"/>
      <c r="D298" s="66"/>
      <c r="E298" s="66"/>
      <c r="F298" s="66"/>
      <c r="G298" s="66"/>
      <c r="H298" s="66"/>
      <c r="I298" s="66"/>
    </row>
    <row r="299" spans="1:9" ht="11.1" customHeight="1">
      <c r="A299" s="71"/>
      <c r="B299" s="66"/>
      <c r="C299" s="66"/>
      <c r="D299" s="66"/>
      <c r="E299" s="66"/>
      <c r="F299" s="66"/>
      <c r="G299" s="66"/>
      <c r="H299" s="66"/>
      <c r="I299" s="66"/>
    </row>
    <row r="300" spans="1:9" ht="11.1" customHeight="1">
      <c r="A300" s="71"/>
      <c r="B300" s="66"/>
      <c r="C300" s="66"/>
      <c r="D300" s="66"/>
      <c r="E300" s="66"/>
      <c r="F300" s="66"/>
      <c r="G300" s="66"/>
      <c r="H300" s="66"/>
      <c r="I300" s="66"/>
    </row>
    <row r="301" spans="1:9" ht="11.1" customHeight="1">
      <c r="A301" s="71"/>
      <c r="B301" s="66"/>
      <c r="C301" s="66"/>
      <c r="D301" s="66"/>
      <c r="E301" s="66"/>
      <c r="F301" s="66"/>
      <c r="G301" s="66"/>
      <c r="H301" s="66"/>
      <c r="I301" s="66"/>
    </row>
    <row r="302" spans="1:9" ht="11.1" customHeight="1">
      <c r="A302" s="71"/>
      <c r="B302" s="66"/>
      <c r="C302" s="66"/>
      <c r="D302" s="66"/>
      <c r="E302" s="66"/>
      <c r="F302" s="66"/>
      <c r="G302" s="66"/>
      <c r="H302" s="66"/>
      <c r="I302" s="66"/>
    </row>
    <row r="303" spans="1:9" ht="11.1" customHeight="1">
      <c r="A303" s="71"/>
      <c r="B303" s="66"/>
      <c r="C303" s="66"/>
      <c r="D303" s="66"/>
      <c r="E303" s="66"/>
      <c r="F303" s="66"/>
      <c r="G303" s="66"/>
      <c r="H303" s="66"/>
      <c r="I303" s="66"/>
    </row>
    <row r="304" spans="1:9" ht="11.1" customHeight="1">
      <c r="A304" s="71"/>
      <c r="B304" s="66"/>
      <c r="C304" s="66"/>
      <c r="D304" s="66"/>
      <c r="E304" s="66"/>
      <c r="F304" s="66"/>
      <c r="G304" s="66"/>
      <c r="H304" s="66"/>
      <c r="I304" s="66"/>
    </row>
    <row r="305" spans="1:9" ht="11.1" customHeight="1">
      <c r="A305" s="71"/>
      <c r="B305" s="66"/>
      <c r="C305" s="66"/>
      <c r="D305" s="66"/>
      <c r="E305" s="66"/>
      <c r="F305" s="66"/>
      <c r="G305" s="66"/>
      <c r="H305" s="66"/>
      <c r="I305" s="66"/>
    </row>
    <row r="306" spans="1:9" ht="11.1" customHeight="1">
      <c r="A306" s="71"/>
      <c r="B306" s="66"/>
      <c r="C306" s="66"/>
      <c r="D306" s="66"/>
      <c r="E306" s="66"/>
      <c r="F306" s="66"/>
      <c r="G306" s="66"/>
      <c r="H306" s="66"/>
      <c r="I306" s="66"/>
    </row>
    <row r="307" spans="1:9" ht="11.1" customHeight="1">
      <c r="A307" s="71"/>
      <c r="B307" s="66"/>
      <c r="C307" s="66"/>
      <c r="D307" s="66"/>
      <c r="E307" s="66"/>
      <c r="F307" s="66"/>
      <c r="G307" s="66"/>
      <c r="H307" s="66"/>
      <c r="I307" s="66"/>
    </row>
    <row r="308" spans="1:9" ht="11.1" customHeight="1">
      <c r="A308" s="71"/>
      <c r="B308" s="66"/>
      <c r="C308" s="66"/>
      <c r="D308" s="66"/>
      <c r="E308" s="66"/>
      <c r="F308" s="66"/>
      <c r="G308" s="66"/>
      <c r="H308" s="66"/>
      <c r="I308" s="66"/>
    </row>
    <row r="309" spans="1:9" ht="11.1" customHeight="1">
      <c r="A309" s="71"/>
      <c r="B309" s="66"/>
      <c r="C309" s="66"/>
      <c r="D309" s="66"/>
      <c r="E309" s="66"/>
      <c r="F309" s="66"/>
      <c r="G309" s="66"/>
      <c r="H309" s="66"/>
      <c r="I309" s="66"/>
    </row>
    <row r="310" spans="1:9" ht="11.1" customHeight="1">
      <c r="A310" s="71"/>
      <c r="B310" s="66"/>
      <c r="C310" s="66"/>
      <c r="D310" s="66"/>
      <c r="E310" s="66"/>
      <c r="F310" s="66"/>
      <c r="G310" s="66"/>
      <c r="H310" s="66"/>
      <c r="I310" s="66"/>
    </row>
    <row r="311" spans="1:9" ht="11.1" customHeight="1">
      <c r="A311" s="71"/>
      <c r="B311" s="66"/>
      <c r="C311" s="66"/>
      <c r="D311" s="66"/>
      <c r="E311" s="66"/>
      <c r="F311" s="66"/>
      <c r="G311" s="66"/>
      <c r="H311" s="66"/>
      <c r="I311" s="66"/>
    </row>
    <row r="312" spans="1:9" ht="11.1" customHeight="1">
      <c r="A312" s="71"/>
      <c r="B312" s="66"/>
      <c r="C312" s="66"/>
      <c r="D312" s="66"/>
      <c r="E312" s="66"/>
      <c r="F312" s="66"/>
      <c r="G312" s="66"/>
      <c r="H312" s="66"/>
      <c r="I312" s="66"/>
    </row>
    <row r="313" spans="1:9" ht="11.1" customHeight="1">
      <c r="A313" s="71"/>
      <c r="B313" s="66"/>
      <c r="C313" s="66"/>
      <c r="D313" s="66"/>
      <c r="E313" s="66"/>
      <c r="F313" s="66"/>
      <c r="G313" s="66"/>
      <c r="H313" s="66"/>
      <c r="I313" s="66"/>
    </row>
    <row r="314" spans="1:9" ht="11.1" customHeight="1">
      <c r="A314" s="71"/>
      <c r="B314" s="66"/>
      <c r="C314" s="66"/>
      <c r="D314" s="66"/>
      <c r="E314" s="66"/>
      <c r="F314" s="66"/>
      <c r="G314" s="66"/>
      <c r="H314" s="66"/>
      <c r="I314" s="66"/>
    </row>
    <row r="315" spans="1:9" ht="11.1" customHeight="1">
      <c r="A315" s="71"/>
      <c r="B315" s="66"/>
      <c r="C315" s="66"/>
      <c r="D315" s="66"/>
      <c r="E315" s="66"/>
      <c r="F315" s="66"/>
      <c r="G315" s="66"/>
      <c r="H315" s="66"/>
      <c r="I315" s="66"/>
    </row>
    <row r="316" spans="1:9" ht="11.1" customHeight="1">
      <c r="A316" s="71"/>
      <c r="B316" s="66"/>
      <c r="C316" s="66"/>
      <c r="D316" s="66"/>
      <c r="E316" s="66"/>
      <c r="F316" s="66"/>
      <c r="G316" s="66"/>
      <c r="H316" s="66"/>
      <c r="I316" s="66"/>
    </row>
    <row r="317" spans="1:9" ht="11.1" customHeight="1">
      <c r="A317" s="71"/>
      <c r="B317" s="66"/>
      <c r="C317" s="66"/>
      <c r="D317" s="66"/>
      <c r="E317" s="66"/>
      <c r="F317" s="66"/>
      <c r="G317" s="66"/>
      <c r="H317" s="66"/>
      <c r="I317" s="66"/>
    </row>
    <row r="318" spans="1:9" ht="11.1" customHeight="1">
      <c r="A318" s="71"/>
      <c r="B318" s="66"/>
      <c r="C318" s="66"/>
      <c r="D318" s="66"/>
      <c r="E318" s="66"/>
      <c r="F318" s="66"/>
      <c r="G318" s="66"/>
      <c r="H318" s="66"/>
      <c r="I318" s="66"/>
    </row>
    <row r="319" spans="1:9" ht="11.1" customHeight="1">
      <c r="A319" s="71"/>
      <c r="B319" s="66"/>
      <c r="C319" s="66"/>
      <c r="D319" s="66"/>
      <c r="E319" s="66"/>
      <c r="F319" s="66"/>
      <c r="G319" s="66"/>
      <c r="H319" s="66"/>
      <c r="I319" s="66"/>
    </row>
    <row r="320" spans="1:9" ht="11.1" customHeight="1">
      <c r="A320" s="71"/>
      <c r="B320" s="66"/>
      <c r="C320" s="66"/>
      <c r="D320" s="66"/>
      <c r="E320" s="66"/>
      <c r="F320" s="66"/>
      <c r="G320" s="66"/>
      <c r="H320" s="66"/>
      <c r="I320" s="66"/>
    </row>
    <row r="321" spans="1:9" ht="11.1" customHeight="1">
      <c r="A321" s="71"/>
      <c r="B321" s="66"/>
      <c r="C321" s="66"/>
      <c r="D321" s="66"/>
      <c r="E321" s="66"/>
      <c r="F321" s="66"/>
      <c r="G321" s="66"/>
      <c r="H321" s="66"/>
      <c r="I321" s="66"/>
    </row>
    <row r="322" spans="1:9" ht="11.1" customHeight="1">
      <c r="A322" s="71"/>
      <c r="B322" s="66"/>
      <c r="C322" s="66"/>
      <c r="D322" s="66"/>
      <c r="E322" s="66"/>
      <c r="F322" s="66"/>
      <c r="G322" s="66"/>
      <c r="H322" s="66"/>
      <c r="I322" s="66"/>
    </row>
    <row r="323" spans="1:9" ht="11.1" customHeight="1">
      <c r="A323" s="71"/>
      <c r="B323" s="66"/>
      <c r="C323" s="66"/>
      <c r="D323" s="66"/>
      <c r="E323" s="66"/>
      <c r="F323" s="66"/>
      <c r="G323" s="66"/>
      <c r="H323" s="66"/>
      <c r="I323" s="66"/>
    </row>
    <row r="324" spans="1:9" ht="11.1" customHeight="1">
      <c r="A324" s="71"/>
      <c r="B324" s="66"/>
      <c r="C324" s="66"/>
      <c r="D324" s="66"/>
      <c r="E324" s="66"/>
      <c r="F324" s="66"/>
      <c r="G324" s="66"/>
      <c r="H324" s="66"/>
      <c r="I324" s="66"/>
    </row>
    <row r="325" spans="1:9" ht="11.1" customHeight="1">
      <c r="A325" s="71"/>
      <c r="B325" s="66"/>
      <c r="C325" s="66"/>
      <c r="D325" s="66"/>
      <c r="E325" s="66"/>
      <c r="F325" s="66"/>
      <c r="G325" s="66"/>
      <c r="H325" s="66"/>
      <c r="I325" s="66"/>
    </row>
    <row r="326" spans="1:9" ht="11.1" customHeight="1">
      <c r="A326" s="71"/>
      <c r="B326" s="66"/>
      <c r="C326" s="66"/>
      <c r="D326" s="66"/>
      <c r="E326" s="66"/>
      <c r="F326" s="66"/>
      <c r="G326" s="66"/>
      <c r="H326" s="66"/>
      <c r="I326" s="66"/>
    </row>
    <row r="327" spans="1:9" ht="11.1" customHeight="1">
      <c r="A327" s="71"/>
      <c r="B327" s="66"/>
      <c r="C327" s="66"/>
      <c r="D327" s="66"/>
      <c r="E327" s="66"/>
      <c r="F327" s="66"/>
      <c r="G327" s="66"/>
      <c r="H327" s="66"/>
      <c r="I327" s="66"/>
    </row>
    <row r="328" spans="1:9" ht="11.1" customHeight="1">
      <c r="A328" s="71"/>
      <c r="B328" s="66"/>
      <c r="C328" s="66"/>
      <c r="D328" s="66"/>
      <c r="E328" s="66"/>
      <c r="F328" s="66"/>
      <c r="G328" s="66"/>
      <c r="H328" s="66"/>
      <c r="I328" s="66"/>
    </row>
    <row r="329" spans="1:9" ht="11.1" customHeight="1">
      <c r="A329" s="71"/>
      <c r="B329" s="66"/>
      <c r="C329" s="66"/>
      <c r="D329" s="66"/>
      <c r="E329" s="66"/>
      <c r="F329" s="66"/>
      <c r="G329" s="66"/>
      <c r="H329" s="66"/>
      <c r="I329" s="66"/>
    </row>
    <row r="330" spans="1:9" ht="11.1" customHeight="1">
      <c r="A330" s="71"/>
      <c r="B330" s="66"/>
      <c r="C330" s="66"/>
      <c r="D330" s="66"/>
      <c r="E330" s="66"/>
      <c r="F330" s="66"/>
      <c r="G330" s="66"/>
      <c r="H330" s="66"/>
      <c r="I330" s="66"/>
    </row>
    <row r="331" spans="1:9" ht="11.1" customHeight="1">
      <c r="A331" s="71"/>
      <c r="B331" s="66"/>
      <c r="C331" s="66"/>
      <c r="D331" s="66"/>
      <c r="E331" s="66"/>
      <c r="F331" s="66"/>
      <c r="G331" s="66"/>
      <c r="H331" s="66"/>
      <c r="I331" s="66"/>
    </row>
    <row r="332" spans="1:9" ht="11.1" customHeight="1">
      <c r="A332" s="71"/>
      <c r="B332" s="66"/>
      <c r="C332" s="66"/>
      <c r="D332" s="66"/>
      <c r="E332" s="66"/>
      <c r="F332" s="66"/>
      <c r="G332" s="66"/>
      <c r="H332" s="66"/>
      <c r="I332" s="66"/>
    </row>
    <row r="333" spans="1:9" ht="11.1" customHeight="1">
      <c r="A333" s="71"/>
      <c r="B333" s="66"/>
      <c r="C333" s="66"/>
      <c r="D333" s="66"/>
      <c r="E333" s="66"/>
      <c r="F333" s="66"/>
      <c r="G333" s="66"/>
      <c r="H333" s="66"/>
      <c r="I333" s="66"/>
    </row>
    <row r="334" spans="1:9" ht="11.1" customHeight="1">
      <c r="A334" s="71"/>
      <c r="B334" s="66"/>
      <c r="C334" s="66"/>
      <c r="D334" s="66"/>
      <c r="E334" s="66"/>
      <c r="F334" s="66"/>
      <c r="G334" s="66"/>
      <c r="H334" s="66"/>
      <c r="I334" s="66"/>
    </row>
    <row r="335" spans="1:9" ht="11.1" customHeight="1">
      <c r="A335" s="71"/>
      <c r="B335" s="66"/>
      <c r="C335" s="66"/>
      <c r="D335" s="66"/>
      <c r="E335" s="66"/>
      <c r="F335" s="66"/>
      <c r="G335" s="66"/>
      <c r="H335" s="66"/>
      <c r="I335" s="66"/>
    </row>
    <row r="336" spans="1:9" ht="11.1" customHeight="1">
      <c r="A336" s="71"/>
      <c r="B336" s="66"/>
      <c r="C336" s="66"/>
      <c r="D336" s="66"/>
      <c r="E336" s="66"/>
      <c r="F336" s="66"/>
      <c r="G336" s="66"/>
      <c r="H336" s="66"/>
      <c r="I336" s="66"/>
    </row>
    <row r="337" spans="1:9" ht="11.1" customHeight="1">
      <c r="A337" s="71"/>
      <c r="B337" s="66"/>
      <c r="C337" s="66"/>
      <c r="D337" s="66"/>
      <c r="E337" s="66"/>
      <c r="F337" s="66"/>
      <c r="G337" s="66"/>
      <c r="H337" s="66"/>
      <c r="I337" s="66"/>
    </row>
    <row r="338" spans="1:9" ht="11.1" customHeight="1">
      <c r="A338" s="71"/>
      <c r="B338" s="66"/>
      <c r="C338" s="66"/>
      <c r="D338" s="66"/>
      <c r="E338" s="66"/>
      <c r="F338" s="66"/>
      <c r="G338" s="66"/>
      <c r="H338" s="66"/>
      <c r="I338" s="66"/>
    </row>
    <row r="339" spans="1:9" ht="11.1" customHeight="1">
      <c r="A339" s="71"/>
      <c r="B339" s="66"/>
      <c r="C339" s="66"/>
      <c r="D339" s="66"/>
      <c r="E339" s="66"/>
      <c r="F339" s="66"/>
      <c r="G339" s="66"/>
      <c r="H339" s="66"/>
      <c r="I339" s="66"/>
    </row>
    <row r="340" spans="1:9" ht="11.1" customHeight="1">
      <c r="A340" s="71"/>
      <c r="B340" s="66"/>
      <c r="C340" s="66"/>
      <c r="D340" s="66"/>
      <c r="E340" s="66"/>
      <c r="F340" s="66"/>
      <c r="G340" s="66"/>
      <c r="H340" s="66"/>
      <c r="I340" s="66"/>
    </row>
    <row r="341" spans="1:9" ht="11.1" customHeight="1">
      <c r="A341" s="71"/>
      <c r="B341" s="66"/>
      <c r="C341" s="66"/>
      <c r="D341" s="66"/>
      <c r="E341" s="66"/>
      <c r="F341" s="66"/>
      <c r="G341" s="66"/>
      <c r="H341" s="66"/>
      <c r="I341" s="66"/>
    </row>
    <row r="342" spans="1:9" ht="11.1" customHeight="1">
      <c r="A342" s="71"/>
      <c r="B342" s="66"/>
      <c r="C342" s="66"/>
      <c r="D342" s="66"/>
      <c r="E342" s="66"/>
      <c r="F342" s="66"/>
      <c r="G342" s="66"/>
      <c r="H342" s="66"/>
      <c r="I342" s="66"/>
    </row>
    <row r="343" spans="1:9" ht="11.1" customHeight="1">
      <c r="A343" s="71"/>
      <c r="B343" s="66"/>
      <c r="C343" s="66"/>
      <c r="D343" s="66"/>
      <c r="E343" s="66"/>
      <c r="F343" s="66"/>
      <c r="G343" s="66"/>
      <c r="H343" s="66"/>
      <c r="I343" s="66"/>
    </row>
    <row r="344" spans="1:9" ht="11.1" customHeight="1">
      <c r="A344" s="71"/>
      <c r="B344" s="66"/>
      <c r="C344" s="66"/>
      <c r="D344" s="66"/>
      <c r="E344" s="66"/>
      <c r="F344" s="66"/>
      <c r="G344" s="66"/>
      <c r="H344" s="66"/>
      <c r="I344" s="66"/>
    </row>
    <row r="345" spans="1:9" ht="11.1" customHeight="1">
      <c r="A345" s="71"/>
      <c r="B345" s="66"/>
      <c r="C345" s="66"/>
      <c r="D345" s="66"/>
      <c r="E345" s="66"/>
      <c r="F345" s="66"/>
      <c r="G345" s="66"/>
      <c r="H345" s="66"/>
      <c r="I345" s="66"/>
    </row>
    <row r="346" spans="1:9" ht="11.1" customHeight="1">
      <c r="A346" s="71"/>
      <c r="B346" s="66"/>
      <c r="C346" s="66"/>
      <c r="D346" s="66"/>
      <c r="E346" s="66"/>
      <c r="F346" s="66"/>
      <c r="G346" s="66"/>
      <c r="H346" s="66"/>
      <c r="I346" s="66"/>
    </row>
    <row r="347" spans="1:9" ht="11.1" customHeight="1">
      <c r="A347" s="71"/>
      <c r="B347" s="66"/>
      <c r="C347" s="66"/>
      <c r="D347" s="66"/>
      <c r="E347" s="66"/>
      <c r="F347" s="66"/>
      <c r="G347" s="66"/>
      <c r="H347" s="66"/>
      <c r="I347" s="66"/>
    </row>
    <row r="348" spans="1:9" ht="11.1" customHeight="1">
      <c r="A348" s="71"/>
      <c r="B348" s="66"/>
      <c r="C348" s="66"/>
      <c r="D348" s="66"/>
      <c r="E348" s="66"/>
      <c r="F348" s="66"/>
      <c r="G348" s="66"/>
      <c r="H348" s="66"/>
      <c r="I348" s="66"/>
    </row>
    <row r="349" spans="1:9" ht="11.1" customHeight="1">
      <c r="A349" s="71"/>
      <c r="B349" s="66"/>
      <c r="C349" s="66"/>
      <c r="D349" s="66"/>
      <c r="E349" s="66"/>
      <c r="F349" s="66"/>
      <c r="G349" s="66"/>
      <c r="H349" s="66"/>
      <c r="I349" s="66"/>
    </row>
    <row r="350" spans="1:9" ht="11.1" customHeight="1">
      <c r="A350" s="71"/>
      <c r="B350" s="66"/>
      <c r="C350" s="66"/>
      <c r="D350" s="66"/>
      <c r="E350" s="66"/>
      <c r="F350" s="66"/>
      <c r="G350" s="66"/>
      <c r="H350" s="66"/>
      <c r="I350" s="66"/>
    </row>
    <row r="351" spans="1:9" ht="11.1" customHeight="1">
      <c r="A351" s="71"/>
      <c r="B351" s="66"/>
      <c r="C351" s="66"/>
      <c r="D351" s="66"/>
      <c r="E351" s="66"/>
      <c r="F351" s="66"/>
      <c r="G351" s="66"/>
      <c r="H351" s="66"/>
      <c r="I351" s="66"/>
    </row>
    <row r="352" spans="1:9" ht="11.1" customHeight="1">
      <c r="A352" s="71"/>
      <c r="B352" s="66"/>
      <c r="C352" s="66"/>
      <c r="D352" s="66"/>
      <c r="E352" s="66"/>
      <c r="F352" s="66"/>
      <c r="G352" s="66"/>
      <c r="H352" s="66"/>
      <c r="I352" s="66"/>
    </row>
    <row r="353" spans="1:9" ht="11.1" customHeight="1">
      <c r="A353" s="71"/>
      <c r="B353" s="66"/>
      <c r="C353" s="66"/>
      <c r="D353" s="66"/>
      <c r="E353" s="66"/>
      <c r="F353" s="66"/>
      <c r="G353" s="66"/>
      <c r="H353" s="66"/>
      <c r="I353" s="66"/>
    </row>
    <row r="354" spans="1:9" ht="11.1" customHeight="1">
      <c r="A354" s="71"/>
      <c r="B354" s="66"/>
      <c r="C354" s="66"/>
      <c r="D354" s="66"/>
      <c r="E354" s="66"/>
      <c r="F354" s="66"/>
      <c r="G354" s="66"/>
      <c r="H354" s="66"/>
      <c r="I354" s="66"/>
    </row>
    <row r="355" spans="1:9" ht="11.1" customHeight="1">
      <c r="A355" s="71"/>
      <c r="B355" s="66"/>
      <c r="C355" s="66"/>
      <c r="D355" s="66"/>
      <c r="E355" s="66"/>
      <c r="F355" s="66"/>
      <c r="G355" s="66"/>
      <c r="H355" s="66"/>
      <c r="I355" s="66"/>
    </row>
    <row r="356" spans="1:9" ht="11.1" customHeight="1">
      <c r="A356" s="71"/>
      <c r="B356" s="66"/>
      <c r="C356" s="66"/>
      <c r="D356" s="66"/>
      <c r="E356" s="66"/>
      <c r="F356" s="66"/>
      <c r="G356" s="66"/>
      <c r="H356" s="66"/>
      <c r="I356" s="66"/>
    </row>
    <row r="357" spans="1:9" ht="11.1" customHeight="1">
      <c r="A357" s="71"/>
      <c r="B357" s="66"/>
      <c r="C357" s="66"/>
      <c r="D357" s="66"/>
      <c r="E357" s="66"/>
      <c r="F357" s="66"/>
      <c r="G357" s="66"/>
      <c r="H357" s="66"/>
      <c r="I357" s="66"/>
    </row>
    <row r="358" spans="1:9" ht="11.1" customHeight="1">
      <c r="A358" s="71"/>
      <c r="B358" s="66"/>
      <c r="C358" s="66"/>
      <c r="D358" s="66"/>
      <c r="E358" s="66"/>
      <c r="F358" s="66"/>
      <c r="G358" s="66"/>
      <c r="H358" s="66"/>
      <c r="I358" s="66"/>
    </row>
    <row r="359" spans="1:9" ht="11.1" customHeight="1">
      <c r="A359" s="71"/>
      <c r="B359" s="66"/>
      <c r="C359" s="66"/>
      <c r="D359" s="66"/>
      <c r="E359" s="66"/>
      <c r="F359" s="66"/>
      <c r="G359" s="66"/>
      <c r="H359" s="66"/>
      <c r="I359" s="66"/>
    </row>
    <row r="360" spans="1:9" ht="11.1" customHeight="1">
      <c r="A360" s="71"/>
      <c r="B360" s="66"/>
      <c r="C360" s="66"/>
      <c r="D360" s="66"/>
      <c r="E360" s="66"/>
      <c r="F360" s="66"/>
      <c r="G360" s="66"/>
      <c r="H360" s="66"/>
      <c r="I360" s="66"/>
    </row>
    <row r="361" spans="1:9" ht="11.1" customHeight="1">
      <c r="A361" s="71"/>
      <c r="B361" s="66"/>
      <c r="C361" s="66"/>
      <c r="D361" s="66"/>
      <c r="E361" s="66"/>
      <c r="F361" s="66"/>
      <c r="G361" s="66"/>
      <c r="H361" s="66"/>
      <c r="I361" s="66"/>
    </row>
    <row r="362" spans="1:9" ht="11.1" customHeight="1">
      <c r="A362" s="71"/>
      <c r="B362" s="66"/>
      <c r="C362" s="66"/>
      <c r="D362" s="66"/>
      <c r="E362" s="66"/>
      <c r="F362" s="66"/>
      <c r="G362" s="66"/>
      <c r="H362" s="66"/>
      <c r="I362" s="66"/>
    </row>
    <row r="363" spans="1:9" ht="11.1" customHeight="1">
      <c r="A363" s="71"/>
      <c r="B363" s="66"/>
      <c r="C363" s="66"/>
      <c r="D363" s="66"/>
      <c r="E363" s="66"/>
      <c r="F363" s="66"/>
      <c r="G363" s="66"/>
      <c r="H363" s="66"/>
      <c r="I363" s="66"/>
    </row>
    <row r="364" spans="1:9" ht="11.1" customHeight="1">
      <c r="A364" s="71"/>
      <c r="B364" s="66"/>
      <c r="C364" s="66"/>
      <c r="D364" s="66"/>
      <c r="E364" s="66"/>
      <c r="F364" s="66"/>
      <c r="G364" s="66"/>
      <c r="H364" s="66"/>
      <c r="I364" s="66"/>
    </row>
    <row r="365" spans="1:9" ht="11.1" customHeight="1">
      <c r="A365" s="71"/>
      <c r="B365" s="66"/>
      <c r="C365" s="66"/>
      <c r="D365" s="66"/>
      <c r="E365" s="66"/>
      <c r="F365" s="66"/>
      <c r="G365" s="66"/>
      <c r="H365" s="66"/>
      <c r="I365" s="66"/>
    </row>
    <row r="366" spans="1:9" ht="11.1" customHeight="1">
      <c r="A366" s="71"/>
      <c r="B366" s="66"/>
      <c r="C366" s="66"/>
      <c r="D366" s="66"/>
      <c r="E366" s="66"/>
      <c r="F366" s="66"/>
      <c r="G366" s="66"/>
      <c r="H366" s="66"/>
      <c r="I366" s="66"/>
    </row>
    <row r="367" spans="1:9" ht="11.1" customHeight="1">
      <c r="A367" s="71"/>
      <c r="B367" s="66"/>
      <c r="C367" s="66"/>
      <c r="D367" s="66"/>
      <c r="E367" s="66"/>
      <c r="F367" s="66"/>
      <c r="G367" s="66"/>
      <c r="H367" s="66"/>
      <c r="I367" s="66"/>
    </row>
    <row r="368" spans="1:9" ht="11.1" customHeight="1">
      <c r="A368" s="71"/>
      <c r="B368" s="66"/>
      <c r="C368" s="66"/>
      <c r="D368" s="66"/>
      <c r="E368" s="66"/>
      <c r="F368" s="66"/>
      <c r="G368" s="66"/>
      <c r="H368" s="66"/>
      <c r="I368" s="66"/>
    </row>
    <row r="369" spans="1:9" ht="11.1" customHeight="1">
      <c r="A369" s="71"/>
      <c r="B369" s="66"/>
      <c r="C369" s="66"/>
      <c r="D369" s="66"/>
      <c r="E369" s="66"/>
      <c r="F369" s="66"/>
      <c r="G369" s="66"/>
      <c r="H369" s="66"/>
      <c r="I369" s="66"/>
    </row>
    <row r="370" spans="1:9" ht="11.1" customHeight="1">
      <c r="A370" s="71"/>
      <c r="B370" s="66"/>
      <c r="C370" s="66"/>
      <c r="D370" s="66"/>
      <c r="E370" s="66"/>
      <c r="F370" s="66"/>
      <c r="G370" s="66"/>
      <c r="H370" s="66"/>
      <c r="I370" s="66"/>
    </row>
    <row r="371" spans="1:9" ht="11.1" customHeight="1">
      <c r="A371" s="71"/>
      <c r="B371" s="66"/>
      <c r="C371" s="66"/>
      <c r="D371" s="66"/>
      <c r="E371" s="66"/>
      <c r="F371" s="66"/>
      <c r="G371" s="66"/>
      <c r="H371" s="66"/>
      <c r="I371" s="66"/>
    </row>
    <row r="372" spans="1:9" ht="11.1" customHeight="1">
      <c r="A372" s="71"/>
      <c r="B372" s="66"/>
      <c r="C372" s="66"/>
      <c r="D372" s="66"/>
      <c r="E372" s="66"/>
      <c r="F372" s="66"/>
      <c r="G372" s="66"/>
      <c r="H372" s="66"/>
      <c r="I372" s="66"/>
    </row>
  </sheetData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33"/>
  <sheetViews>
    <sheetView workbookViewId="0"/>
  </sheetViews>
  <sheetFormatPr defaultColWidth="5.6640625" defaultRowHeight="10.199999999999999"/>
  <cols>
    <col min="1" max="1" width="6" style="120" customWidth="1"/>
    <col min="2" max="2" width="9.33203125" style="121" customWidth="1"/>
    <col min="3" max="3" width="8.109375" style="120" customWidth="1"/>
    <col min="4" max="4" width="7" style="120" customWidth="1"/>
    <col min="5" max="256" width="5.6640625" style="120"/>
    <col min="257" max="257" width="6" style="120" customWidth="1"/>
    <col min="258" max="258" width="9.33203125" style="120" customWidth="1"/>
    <col min="259" max="259" width="8.109375" style="120" customWidth="1"/>
    <col min="260" max="260" width="7" style="120" customWidth="1"/>
    <col min="261" max="512" width="5.6640625" style="120"/>
    <col min="513" max="513" width="6" style="120" customWidth="1"/>
    <col min="514" max="514" width="9.33203125" style="120" customWidth="1"/>
    <col min="515" max="515" width="8.109375" style="120" customWidth="1"/>
    <col min="516" max="516" width="7" style="120" customWidth="1"/>
    <col min="517" max="768" width="5.6640625" style="120"/>
    <col min="769" max="769" width="6" style="120" customWidth="1"/>
    <col min="770" max="770" width="9.33203125" style="120" customWidth="1"/>
    <col min="771" max="771" width="8.109375" style="120" customWidth="1"/>
    <col min="772" max="772" width="7" style="120" customWidth="1"/>
    <col min="773" max="1024" width="5.6640625" style="120"/>
    <col min="1025" max="1025" width="6" style="120" customWidth="1"/>
    <col min="1026" max="1026" width="9.33203125" style="120" customWidth="1"/>
    <col min="1027" max="1027" width="8.109375" style="120" customWidth="1"/>
    <col min="1028" max="1028" width="7" style="120" customWidth="1"/>
    <col min="1029" max="1280" width="5.6640625" style="120"/>
    <col min="1281" max="1281" width="6" style="120" customWidth="1"/>
    <col min="1282" max="1282" width="9.33203125" style="120" customWidth="1"/>
    <col min="1283" max="1283" width="8.109375" style="120" customWidth="1"/>
    <col min="1284" max="1284" width="7" style="120" customWidth="1"/>
    <col min="1285" max="1536" width="5.6640625" style="120"/>
    <col min="1537" max="1537" width="6" style="120" customWidth="1"/>
    <col min="1538" max="1538" width="9.33203125" style="120" customWidth="1"/>
    <col min="1539" max="1539" width="8.109375" style="120" customWidth="1"/>
    <col min="1540" max="1540" width="7" style="120" customWidth="1"/>
    <col min="1541" max="1792" width="5.6640625" style="120"/>
    <col min="1793" max="1793" width="6" style="120" customWidth="1"/>
    <col min="1794" max="1794" width="9.33203125" style="120" customWidth="1"/>
    <col min="1795" max="1795" width="8.109375" style="120" customWidth="1"/>
    <col min="1796" max="1796" width="7" style="120" customWidth="1"/>
    <col min="1797" max="2048" width="5.6640625" style="120"/>
    <col min="2049" max="2049" width="6" style="120" customWidth="1"/>
    <col min="2050" max="2050" width="9.33203125" style="120" customWidth="1"/>
    <col min="2051" max="2051" width="8.109375" style="120" customWidth="1"/>
    <col min="2052" max="2052" width="7" style="120" customWidth="1"/>
    <col min="2053" max="2304" width="5.6640625" style="120"/>
    <col min="2305" max="2305" width="6" style="120" customWidth="1"/>
    <col min="2306" max="2306" width="9.33203125" style="120" customWidth="1"/>
    <col min="2307" max="2307" width="8.109375" style="120" customWidth="1"/>
    <col min="2308" max="2308" width="7" style="120" customWidth="1"/>
    <col min="2309" max="2560" width="5.6640625" style="120"/>
    <col min="2561" max="2561" width="6" style="120" customWidth="1"/>
    <col min="2562" max="2562" width="9.33203125" style="120" customWidth="1"/>
    <col min="2563" max="2563" width="8.109375" style="120" customWidth="1"/>
    <col min="2564" max="2564" width="7" style="120" customWidth="1"/>
    <col min="2565" max="2816" width="5.6640625" style="120"/>
    <col min="2817" max="2817" width="6" style="120" customWidth="1"/>
    <col min="2818" max="2818" width="9.33203125" style="120" customWidth="1"/>
    <col min="2819" max="2819" width="8.109375" style="120" customWidth="1"/>
    <col min="2820" max="2820" width="7" style="120" customWidth="1"/>
    <col min="2821" max="3072" width="5.6640625" style="120"/>
    <col min="3073" max="3073" width="6" style="120" customWidth="1"/>
    <col min="3074" max="3074" width="9.33203125" style="120" customWidth="1"/>
    <col min="3075" max="3075" width="8.109375" style="120" customWidth="1"/>
    <col min="3076" max="3076" width="7" style="120" customWidth="1"/>
    <col min="3077" max="3328" width="5.6640625" style="120"/>
    <col min="3329" max="3329" width="6" style="120" customWidth="1"/>
    <col min="3330" max="3330" width="9.33203125" style="120" customWidth="1"/>
    <col min="3331" max="3331" width="8.109375" style="120" customWidth="1"/>
    <col min="3332" max="3332" width="7" style="120" customWidth="1"/>
    <col min="3333" max="3584" width="5.6640625" style="120"/>
    <col min="3585" max="3585" width="6" style="120" customWidth="1"/>
    <col min="3586" max="3586" width="9.33203125" style="120" customWidth="1"/>
    <col min="3587" max="3587" width="8.109375" style="120" customWidth="1"/>
    <col min="3588" max="3588" width="7" style="120" customWidth="1"/>
    <col min="3589" max="3840" width="5.6640625" style="120"/>
    <col min="3841" max="3841" width="6" style="120" customWidth="1"/>
    <col min="3842" max="3842" width="9.33203125" style="120" customWidth="1"/>
    <col min="3843" max="3843" width="8.109375" style="120" customWidth="1"/>
    <col min="3844" max="3844" width="7" style="120" customWidth="1"/>
    <col min="3845" max="4096" width="5.6640625" style="120"/>
    <col min="4097" max="4097" width="6" style="120" customWidth="1"/>
    <col min="4098" max="4098" width="9.33203125" style="120" customWidth="1"/>
    <col min="4099" max="4099" width="8.109375" style="120" customWidth="1"/>
    <col min="4100" max="4100" width="7" style="120" customWidth="1"/>
    <col min="4101" max="4352" width="5.6640625" style="120"/>
    <col min="4353" max="4353" width="6" style="120" customWidth="1"/>
    <col min="4354" max="4354" width="9.33203125" style="120" customWidth="1"/>
    <col min="4355" max="4355" width="8.109375" style="120" customWidth="1"/>
    <col min="4356" max="4356" width="7" style="120" customWidth="1"/>
    <col min="4357" max="4608" width="5.6640625" style="120"/>
    <col min="4609" max="4609" width="6" style="120" customWidth="1"/>
    <col min="4610" max="4610" width="9.33203125" style="120" customWidth="1"/>
    <col min="4611" max="4611" width="8.109375" style="120" customWidth="1"/>
    <col min="4612" max="4612" width="7" style="120" customWidth="1"/>
    <col min="4613" max="4864" width="5.6640625" style="120"/>
    <col min="4865" max="4865" width="6" style="120" customWidth="1"/>
    <col min="4866" max="4866" width="9.33203125" style="120" customWidth="1"/>
    <col min="4867" max="4867" width="8.109375" style="120" customWidth="1"/>
    <col min="4868" max="4868" width="7" style="120" customWidth="1"/>
    <col min="4869" max="5120" width="5.6640625" style="120"/>
    <col min="5121" max="5121" width="6" style="120" customWidth="1"/>
    <col min="5122" max="5122" width="9.33203125" style="120" customWidth="1"/>
    <col min="5123" max="5123" width="8.109375" style="120" customWidth="1"/>
    <col min="5124" max="5124" width="7" style="120" customWidth="1"/>
    <col min="5125" max="5376" width="5.6640625" style="120"/>
    <col min="5377" max="5377" width="6" style="120" customWidth="1"/>
    <col min="5378" max="5378" width="9.33203125" style="120" customWidth="1"/>
    <col min="5379" max="5379" width="8.109375" style="120" customWidth="1"/>
    <col min="5380" max="5380" width="7" style="120" customWidth="1"/>
    <col min="5381" max="5632" width="5.6640625" style="120"/>
    <col min="5633" max="5633" width="6" style="120" customWidth="1"/>
    <col min="5634" max="5634" width="9.33203125" style="120" customWidth="1"/>
    <col min="5635" max="5635" width="8.109375" style="120" customWidth="1"/>
    <col min="5636" max="5636" width="7" style="120" customWidth="1"/>
    <col min="5637" max="5888" width="5.6640625" style="120"/>
    <col min="5889" max="5889" width="6" style="120" customWidth="1"/>
    <col min="5890" max="5890" width="9.33203125" style="120" customWidth="1"/>
    <col min="5891" max="5891" width="8.109375" style="120" customWidth="1"/>
    <col min="5892" max="5892" width="7" style="120" customWidth="1"/>
    <col min="5893" max="6144" width="5.6640625" style="120"/>
    <col min="6145" max="6145" width="6" style="120" customWidth="1"/>
    <col min="6146" max="6146" width="9.33203125" style="120" customWidth="1"/>
    <col min="6147" max="6147" width="8.109375" style="120" customWidth="1"/>
    <col min="6148" max="6148" width="7" style="120" customWidth="1"/>
    <col min="6149" max="6400" width="5.6640625" style="120"/>
    <col min="6401" max="6401" width="6" style="120" customWidth="1"/>
    <col min="6402" max="6402" width="9.33203125" style="120" customWidth="1"/>
    <col min="6403" max="6403" width="8.109375" style="120" customWidth="1"/>
    <col min="6404" max="6404" width="7" style="120" customWidth="1"/>
    <col min="6405" max="6656" width="5.6640625" style="120"/>
    <col min="6657" max="6657" width="6" style="120" customWidth="1"/>
    <col min="6658" max="6658" width="9.33203125" style="120" customWidth="1"/>
    <col min="6659" max="6659" width="8.109375" style="120" customWidth="1"/>
    <col min="6660" max="6660" width="7" style="120" customWidth="1"/>
    <col min="6661" max="6912" width="5.6640625" style="120"/>
    <col min="6913" max="6913" width="6" style="120" customWidth="1"/>
    <col min="6914" max="6914" width="9.33203125" style="120" customWidth="1"/>
    <col min="6915" max="6915" width="8.109375" style="120" customWidth="1"/>
    <col min="6916" max="6916" width="7" style="120" customWidth="1"/>
    <col min="6917" max="7168" width="5.6640625" style="120"/>
    <col min="7169" max="7169" width="6" style="120" customWidth="1"/>
    <col min="7170" max="7170" width="9.33203125" style="120" customWidth="1"/>
    <col min="7171" max="7171" width="8.109375" style="120" customWidth="1"/>
    <col min="7172" max="7172" width="7" style="120" customWidth="1"/>
    <col min="7173" max="7424" width="5.6640625" style="120"/>
    <col min="7425" max="7425" width="6" style="120" customWidth="1"/>
    <col min="7426" max="7426" width="9.33203125" style="120" customWidth="1"/>
    <col min="7427" max="7427" width="8.109375" style="120" customWidth="1"/>
    <col min="7428" max="7428" width="7" style="120" customWidth="1"/>
    <col min="7429" max="7680" width="5.6640625" style="120"/>
    <col min="7681" max="7681" width="6" style="120" customWidth="1"/>
    <col min="7682" max="7682" width="9.33203125" style="120" customWidth="1"/>
    <col min="7683" max="7683" width="8.109375" style="120" customWidth="1"/>
    <col min="7684" max="7684" width="7" style="120" customWidth="1"/>
    <col min="7685" max="7936" width="5.6640625" style="120"/>
    <col min="7937" max="7937" width="6" style="120" customWidth="1"/>
    <col min="7938" max="7938" width="9.33203125" style="120" customWidth="1"/>
    <col min="7939" max="7939" width="8.109375" style="120" customWidth="1"/>
    <col min="7940" max="7940" width="7" style="120" customWidth="1"/>
    <col min="7941" max="8192" width="5.6640625" style="120"/>
    <col min="8193" max="8193" width="6" style="120" customWidth="1"/>
    <col min="8194" max="8194" width="9.33203125" style="120" customWidth="1"/>
    <col min="8195" max="8195" width="8.109375" style="120" customWidth="1"/>
    <col min="8196" max="8196" width="7" style="120" customWidth="1"/>
    <col min="8197" max="8448" width="5.6640625" style="120"/>
    <col min="8449" max="8449" width="6" style="120" customWidth="1"/>
    <col min="8450" max="8450" width="9.33203125" style="120" customWidth="1"/>
    <col min="8451" max="8451" width="8.109375" style="120" customWidth="1"/>
    <col min="8452" max="8452" width="7" style="120" customWidth="1"/>
    <col min="8453" max="8704" width="5.6640625" style="120"/>
    <col min="8705" max="8705" width="6" style="120" customWidth="1"/>
    <col min="8706" max="8706" width="9.33203125" style="120" customWidth="1"/>
    <col min="8707" max="8707" width="8.109375" style="120" customWidth="1"/>
    <col min="8708" max="8708" width="7" style="120" customWidth="1"/>
    <col min="8709" max="8960" width="5.6640625" style="120"/>
    <col min="8961" max="8961" width="6" style="120" customWidth="1"/>
    <col min="8962" max="8962" width="9.33203125" style="120" customWidth="1"/>
    <col min="8963" max="8963" width="8.109375" style="120" customWidth="1"/>
    <col min="8964" max="8964" width="7" style="120" customWidth="1"/>
    <col min="8965" max="9216" width="5.6640625" style="120"/>
    <col min="9217" max="9217" width="6" style="120" customWidth="1"/>
    <col min="9218" max="9218" width="9.33203125" style="120" customWidth="1"/>
    <col min="9219" max="9219" width="8.109375" style="120" customWidth="1"/>
    <col min="9220" max="9220" width="7" style="120" customWidth="1"/>
    <col min="9221" max="9472" width="5.6640625" style="120"/>
    <col min="9473" max="9473" width="6" style="120" customWidth="1"/>
    <col min="9474" max="9474" width="9.33203125" style="120" customWidth="1"/>
    <col min="9475" max="9475" width="8.109375" style="120" customWidth="1"/>
    <col min="9476" max="9476" width="7" style="120" customWidth="1"/>
    <col min="9477" max="9728" width="5.6640625" style="120"/>
    <col min="9729" max="9729" width="6" style="120" customWidth="1"/>
    <col min="9730" max="9730" width="9.33203125" style="120" customWidth="1"/>
    <col min="9731" max="9731" width="8.109375" style="120" customWidth="1"/>
    <col min="9732" max="9732" width="7" style="120" customWidth="1"/>
    <col min="9733" max="9984" width="5.6640625" style="120"/>
    <col min="9985" max="9985" width="6" style="120" customWidth="1"/>
    <col min="9986" max="9986" width="9.33203125" style="120" customWidth="1"/>
    <col min="9987" max="9987" width="8.109375" style="120" customWidth="1"/>
    <col min="9988" max="9988" width="7" style="120" customWidth="1"/>
    <col min="9989" max="10240" width="5.6640625" style="120"/>
    <col min="10241" max="10241" width="6" style="120" customWidth="1"/>
    <col min="10242" max="10242" width="9.33203125" style="120" customWidth="1"/>
    <col min="10243" max="10243" width="8.109375" style="120" customWidth="1"/>
    <col min="10244" max="10244" width="7" style="120" customWidth="1"/>
    <col min="10245" max="10496" width="5.6640625" style="120"/>
    <col min="10497" max="10497" width="6" style="120" customWidth="1"/>
    <col min="10498" max="10498" width="9.33203125" style="120" customWidth="1"/>
    <col min="10499" max="10499" width="8.109375" style="120" customWidth="1"/>
    <col min="10500" max="10500" width="7" style="120" customWidth="1"/>
    <col min="10501" max="10752" width="5.6640625" style="120"/>
    <col min="10753" max="10753" width="6" style="120" customWidth="1"/>
    <col min="10754" max="10754" width="9.33203125" style="120" customWidth="1"/>
    <col min="10755" max="10755" width="8.109375" style="120" customWidth="1"/>
    <col min="10756" max="10756" width="7" style="120" customWidth="1"/>
    <col min="10757" max="11008" width="5.6640625" style="120"/>
    <col min="11009" max="11009" width="6" style="120" customWidth="1"/>
    <col min="11010" max="11010" width="9.33203125" style="120" customWidth="1"/>
    <col min="11011" max="11011" width="8.109375" style="120" customWidth="1"/>
    <col min="11012" max="11012" width="7" style="120" customWidth="1"/>
    <col min="11013" max="11264" width="5.6640625" style="120"/>
    <col min="11265" max="11265" width="6" style="120" customWidth="1"/>
    <col min="11266" max="11266" width="9.33203125" style="120" customWidth="1"/>
    <col min="11267" max="11267" width="8.109375" style="120" customWidth="1"/>
    <col min="11268" max="11268" width="7" style="120" customWidth="1"/>
    <col min="11269" max="11520" width="5.6640625" style="120"/>
    <col min="11521" max="11521" width="6" style="120" customWidth="1"/>
    <col min="11522" max="11522" width="9.33203125" style="120" customWidth="1"/>
    <col min="11523" max="11523" width="8.109375" style="120" customWidth="1"/>
    <col min="11524" max="11524" width="7" style="120" customWidth="1"/>
    <col min="11525" max="11776" width="5.6640625" style="120"/>
    <col min="11777" max="11777" width="6" style="120" customWidth="1"/>
    <col min="11778" max="11778" width="9.33203125" style="120" customWidth="1"/>
    <col min="11779" max="11779" width="8.109375" style="120" customWidth="1"/>
    <col min="11780" max="11780" width="7" style="120" customWidth="1"/>
    <col min="11781" max="12032" width="5.6640625" style="120"/>
    <col min="12033" max="12033" width="6" style="120" customWidth="1"/>
    <col min="12034" max="12034" width="9.33203125" style="120" customWidth="1"/>
    <col min="12035" max="12035" width="8.109375" style="120" customWidth="1"/>
    <col min="12036" max="12036" width="7" style="120" customWidth="1"/>
    <col min="12037" max="12288" width="5.6640625" style="120"/>
    <col min="12289" max="12289" width="6" style="120" customWidth="1"/>
    <col min="12290" max="12290" width="9.33203125" style="120" customWidth="1"/>
    <col min="12291" max="12291" width="8.109375" style="120" customWidth="1"/>
    <col min="12292" max="12292" width="7" style="120" customWidth="1"/>
    <col min="12293" max="12544" width="5.6640625" style="120"/>
    <col min="12545" max="12545" width="6" style="120" customWidth="1"/>
    <col min="12546" max="12546" width="9.33203125" style="120" customWidth="1"/>
    <col min="12547" max="12547" width="8.109375" style="120" customWidth="1"/>
    <col min="12548" max="12548" width="7" style="120" customWidth="1"/>
    <col min="12549" max="12800" width="5.6640625" style="120"/>
    <col min="12801" max="12801" width="6" style="120" customWidth="1"/>
    <col min="12802" max="12802" width="9.33203125" style="120" customWidth="1"/>
    <col min="12803" max="12803" width="8.109375" style="120" customWidth="1"/>
    <col min="12804" max="12804" width="7" style="120" customWidth="1"/>
    <col min="12805" max="13056" width="5.6640625" style="120"/>
    <col min="13057" max="13057" width="6" style="120" customWidth="1"/>
    <col min="13058" max="13058" width="9.33203125" style="120" customWidth="1"/>
    <col min="13059" max="13059" width="8.109375" style="120" customWidth="1"/>
    <col min="13060" max="13060" width="7" style="120" customWidth="1"/>
    <col min="13061" max="13312" width="5.6640625" style="120"/>
    <col min="13313" max="13313" width="6" style="120" customWidth="1"/>
    <col min="13314" max="13314" width="9.33203125" style="120" customWidth="1"/>
    <col min="13315" max="13315" width="8.109375" style="120" customWidth="1"/>
    <col min="13316" max="13316" width="7" style="120" customWidth="1"/>
    <col min="13317" max="13568" width="5.6640625" style="120"/>
    <col min="13569" max="13569" width="6" style="120" customWidth="1"/>
    <col min="13570" max="13570" width="9.33203125" style="120" customWidth="1"/>
    <col min="13571" max="13571" width="8.109375" style="120" customWidth="1"/>
    <col min="13572" max="13572" width="7" style="120" customWidth="1"/>
    <col min="13573" max="13824" width="5.6640625" style="120"/>
    <col min="13825" max="13825" width="6" style="120" customWidth="1"/>
    <col min="13826" max="13826" width="9.33203125" style="120" customWidth="1"/>
    <col min="13827" max="13827" width="8.109375" style="120" customWidth="1"/>
    <col min="13828" max="13828" width="7" style="120" customWidth="1"/>
    <col min="13829" max="14080" width="5.6640625" style="120"/>
    <col min="14081" max="14081" width="6" style="120" customWidth="1"/>
    <col min="14082" max="14082" width="9.33203125" style="120" customWidth="1"/>
    <col min="14083" max="14083" width="8.109375" style="120" customWidth="1"/>
    <col min="14084" max="14084" width="7" style="120" customWidth="1"/>
    <col min="14085" max="14336" width="5.6640625" style="120"/>
    <col min="14337" max="14337" width="6" style="120" customWidth="1"/>
    <col min="14338" max="14338" width="9.33203125" style="120" customWidth="1"/>
    <col min="14339" max="14339" width="8.109375" style="120" customWidth="1"/>
    <col min="14340" max="14340" width="7" style="120" customWidth="1"/>
    <col min="14341" max="14592" width="5.6640625" style="120"/>
    <col min="14593" max="14593" width="6" style="120" customWidth="1"/>
    <col min="14594" max="14594" width="9.33203125" style="120" customWidth="1"/>
    <col min="14595" max="14595" width="8.109375" style="120" customWidth="1"/>
    <col min="14596" max="14596" width="7" style="120" customWidth="1"/>
    <col min="14597" max="14848" width="5.6640625" style="120"/>
    <col min="14849" max="14849" width="6" style="120" customWidth="1"/>
    <col min="14850" max="14850" width="9.33203125" style="120" customWidth="1"/>
    <col min="14851" max="14851" width="8.109375" style="120" customWidth="1"/>
    <col min="14852" max="14852" width="7" style="120" customWidth="1"/>
    <col min="14853" max="15104" width="5.6640625" style="120"/>
    <col min="15105" max="15105" width="6" style="120" customWidth="1"/>
    <col min="15106" max="15106" width="9.33203125" style="120" customWidth="1"/>
    <col min="15107" max="15107" width="8.109375" style="120" customWidth="1"/>
    <col min="15108" max="15108" width="7" style="120" customWidth="1"/>
    <col min="15109" max="15360" width="5.6640625" style="120"/>
    <col min="15361" max="15361" width="6" style="120" customWidth="1"/>
    <col min="15362" max="15362" width="9.33203125" style="120" customWidth="1"/>
    <col min="15363" max="15363" width="8.109375" style="120" customWidth="1"/>
    <col min="15364" max="15364" width="7" style="120" customWidth="1"/>
    <col min="15365" max="15616" width="5.6640625" style="120"/>
    <col min="15617" max="15617" width="6" style="120" customWidth="1"/>
    <col min="15618" max="15618" width="9.33203125" style="120" customWidth="1"/>
    <col min="15619" max="15619" width="8.109375" style="120" customWidth="1"/>
    <col min="15620" max="15620" width="7" style="120" customWidth="1"/>
    <col min="15621" max="15872" width="5.6640625" style="120"/>
    <col min="15873" max="15873" width="6" style="120" customWidth="1"/>
    <col min="15874" max="15874" width="9.33203125" style="120" customWidth="1"/>
    <col min="15875" max="15875" width="8.109375" style="120" customWidth="1"/>
    <col min="15876" max="15876" width="7" style="120" customWidth="1"/>
    <col min="15877" max="16128" width="5.6640625" style="120"/>
    <col min="16129" max="16129" width="6" style="120" customWidth="1"/>
    <col min="16130" max="16130" width="9.33203125" style="120" customWidth="1"/>
    <col min="16131" max="16131" width="8.109375" style="120" customWidth="1"/>
    <col min="16132" max="16132" width="7" style="120" customWidth="1"/>
    <col min="16133" max="16384" width="5.6640625" style="120"/>
  </cols>
  <sheetData>
    <row r="1" spans="1:35">
      <c r="A1" s="120" t="s">
        <v>157</v>
      </c>
    </row>
    <row r="2" spans="1:35">
      <c r="A2" s="120" t="s">
        <v>158</v>
      </c>
    </row>
    <row r="3" spans="1:35">
      <c r="B3" s="121" t="s">
        <v>159</v>
      </c>
    </row>
    <row r="4" spans="1:35">
      <c r="B4" s="121" t="s">
        <v>160</v>
      </c>
      <c r="C4" s="120" t="s">
        <v>161</v>
      </c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</row>
    <row r="5" spans="1:35">
      <c r="C5" s="122">
        <v>1</v>
      </c>
      <c r="AF5" s="122"/>
      <c r="AG5" s="122"/>
      <c r="AH5" s="122"/>
      <c r="AI5" s="122"/>
    </row>
    <row r="6" spans="1:35">
      <c r="A6" s="120">
        <v>72</v>
      </c>
      <c r="B6" s="123">
        <v>0.19500000000000001</v>
      </c>
      <c r="C6" s="122">
        <v>0.96520000000000006</v>
      </c>
      <c r="D6" s="124"/>
      <c r="E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</row>
    <row r="7" spans="1:35">
      <c r="A7" s="120">
        <f>1+A6</f>
        <v>73</v>
      </c>
      <c r="B7" s="123">
        <v>0.19800000000000001</v>
      </c>
      <c r="C7" s="122">
        <v>0.96394524000000004</v>
      </c>
      <c r="D7" s="124"/>
      <c r="E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</row>
    <row r="8" spans="1:35">
      <c r="A8" s="120">
        <f t="shared" ref="A8:A32" si="0">1+A7</f>
        <v>74</v>
      </c>
      <c r="B8" s="123">
        <v>0.17599999999999999</v>
      </c>
      <c r="C8" s="122">
        <v>0.85174201406399996</v>
      </c>
      <c r="D8" s="124"/>
      <c r="E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</row>
    <row r="9" spans="1:35">
      <c r="A9" s="120">
        <f t="shared" si="0"/>
        <v>75</v>
      </c>
      <c r="B9" s="123">
        <v>0.161</v>
      </c>
      <c r="C9" s="122">
        <v>0.81988686273800637</v>
      </c>
      <c r="D9" s="124"/>
      <c r="E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</row>
    <row r="10" spans="1:35">
      <c r="A10" s="120">
        <f t="shared" si="0"/>
        <v>76</v>
      </c>
      <c r="B10" s="123">
        <v>0.113</v>
      </c>
      <c r="C10" s="122">
        <v>0.95410234216821799</v>
      </c>
      <c r="D10" s="124"/>
      <c r="E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</row>
    <row r="11" spans="1:35">
      <c r="A11" s="120">
        <f t="shared" si="0"/>
        <v>77</v>
      </c>
      <c r="B11" s="123">
        <v>9.2999999999999999E-2</v>
      </c>
      <c r="C11" s="122">
        <v>0.98988117999952629</v>
      </c>
      <c r="D11" s="124"/>
      <c r="E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</row>
    <row r="12" spans="1:35">
      <c r="A12" s="120">
        <f t="shared" si="0"/>
        <v>78</v>
      </c>
      <c r="B12" s="123">
        <v>0.11799999999999999</v>
      </c>
      <c r="C12" s="122">
        <v>1.1267817471934609</v>
      </c>
      <c r="D12" s="124"/>
      <c r="E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</row>
    <row r="13" spans="1:35">
      <c r="A13" s="120">
        <f t="shared" si="0"/>
        <v>79</v>
      </c>
      <c r="B13" s="123">
        <v>0.14000000000000001</v>
      </c>
      <c r="C13" s="122">
        <v>1.316869827944998</v>
      </c>
      <c r="D13" s="124"/>
      <c r="E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</row>
    <row r="14" spans="1:35">
      <c r="A14" s="120">
        <f t="shared" si="0"/>
        <v>80</v>
      </c>
      <c r="B14" s="123">
        <v>0.17799999999999999</v>
      </c>
      <c r="C14" s="122">
        <v>1.4309107550450348</v>
      </c>
      <c r="D14" s="124"/>
      <c r="E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</row>
    <row r="15" spans="1:35">
      <c r="A15" s="120">
        <f t="shared" si="0"/>
        <v>81</v>
      </c>
      <c r="B15" s="123">
        <v>0.2</v>
      </c>
      <c r="C15" s="122">
        <v>1.6569946543421503</v>
      </c>
      <c r="D15" s="124"/>
      <c r="E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</row>
    <row r="16" spans="1:35">
      <c r="A16" s="120">
        <f t="shared" si="0"/>
        <v>82</v>
      </c>
      <c r="B16" s="123">
        <v>0.22</v>
      </c>
      <c r="C16" s="122">
        <v>1.5300688638195417</v>
      </c>
      <c r="D16" s="124"/>
      <c r="E16" s="122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</row>
    <row r="17" spans="1:35">
      <c r="A17" s="120">
        <f t="shared" si="0"/>
        <v>83</v>
      </c>
      <c r="B17" s="123">
        <v>0.182</v>
      </c>
      <c r="C17" s="122">
        <v>1.6510973109476674</v>
      </c>
      <c r="D17" s="124"/>
      <c r="E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</row>
    <row r="18" spans="1:35">
      <c r="A18" s="120">
        <f t="shared" si="0"/>
        <v>84</v>
      </c>
      <c r="B18" s="123">
        <v>0.23799999999999999</v>
      </c>
      <c r="C18" s="122">
        <v>1.7910278080504825</v>
      </c>
      <c r="D18" s="124"/>
      <c r="E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</row>
    <row r="19" spans="1:35">
      <c r="A19" s="120">
        <f t="shared" si="0"/>
        <v>85</v>
      </c>
      <c r="B19" s="123">
        <v>0.20499999999999999</v>
      </c>
      <c r="C19" s="122">
        <v>1.8280125322867251</v>
      </c>
      <c r="D19" s="124"/>
      <c r="E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</row>
    <row r="20" spans="1:35">
      <c r="A20" s="120">
        <f t="shared" si="0"/>
        <v>86</v>
      </c>
      <c r="B20" s="123">
        <v>0.27700000000000002</v>
      </c>
      <c r="C20" s="122">
        <v>1.770064535013236</v>
      </c>
      <c r="D20" s="124"/>
      <c r="E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</row>
    <row r="21" spans="1:35">
      <c r="A21" s="120">
        <f t="shared" si="0"/>
        <v>87</v>
      </c>
      <c r="B21" s="123">
        <v>0.23499999999999999</v>
      </c>
      <c r="C21" s="122">
        <v>1.7468766896045627</v>
      </c>
      <c r="D21" s="124"/>
      <c r="E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</row>
    <row r="22" spans="1:35">
      <c r="A22" s="120">
        <f t="shared" si="0"/>
        <v>88</v>
      </c>
      <c r="B22" s="123">
        <v>0.214</v>
      </c>
      <c r="C22" s="122">
        <v>1.7943043917273265</v>
      </c>
      <c r="D22" s="124"/>
      <c r="E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</row>
    <row r="23" spans="1:35">
      <c r="A23" s="120">
        <f t="shared" si="0"/>
        <v>89</v>
      </c>
      <c r="B23" s="123">
        <v>0.185</v>
      </c>
      <c r="C23" s="122">
        <v>1.7661338127772073</v>
      </c>
      <c r="D23" s="124"/>
      <c r="E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</row>
    <row r="24" spans="1:35">
      <c r="A24" s="120">
        <f t="shared" si="0"/>
        <v>90</v>
      </c>
      <c r="B24" s="123">
        <v>0.17599999999999999</v>
      </c>
      <c r="C24" s="122">
        <v>1.5705344930121314</v>
      </c>
      <c r="D24" s="124"/>
      <c r="E24" s="122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</row>
    <row r="25" spans="1:35">
      <c r="A25" s="120">
        <f t="shared" si="0"/>
        <v>91</v>
      </c>
      <c r="B25" s="123">
        <v>7.9000000000000001E-2</v>
      </c>
      <c r="C25" s="122">
        <v>1.3088834464763104</v>
      </c>
      <c r="D25" s="124"/>
      <c r="E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</row>
    <row r="26" spans="1:35">
      <c r="A26" s="120">
        <f t="shared" si="0"/>
        <v>92</v>
      </c>
      <c r="B26" s="123">
        <v>4.7E-2</v>
      </c>
      <c r="C26" s="122">
        <v>1.2274054519331601</v>
      </c>
      <c r="D26" s="124"/>
      <c r="E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</row>
    <row r="27" spans="1:35">
      <c r="A27" s="120">
        <f t="shared" si="0"/>
        <v>93</v>
      </c>
      <c r="B27" s="123">
        <v>2.9000000000000001E-2</v>
      </c>
      <c r="C27" s="122">
        <v>1.2821477350893791</v>
      </c>
      <c r="D27" s="124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</row>
    <row r="28" spans="1:35">
      <c r="A28" s="120">
        <f t="shared" si="0"/>
        <v>94</v>
      </c>
      <c r="B28" s="123">
        <v>1.9E-2</v>
      </c>
      <c r="C28" s="122">
        <v>1.4053621324314685</v>
      </c>
      <c r="D28" s="124"/>
    </row>
    <row r="29" spans="1:35">
      <c r="A29" s="120">
        <f t="shared" si="0"/>
        <v>95</v>
      </c>
      <c r="B29" s="123">
        <v>1.4E-2</v>
      </c>
      <c r="C29" s="122">
        <v>1.4562362416254877</v>
      </c>
      <c r="D29" s="124"/>
    </row>
    <row r="30" spans="1:35">
      <c r="A30" s="120">
        <f t="shared" si="0"/>
        <v>96</v>
      </c>
      <c r="B30" s="123">
        <v>8.0000000000000002E-3</v>
      </c>
      <c r="C30" s="122">
        <v>1.5790697686065975</v>
      </c>
      <c r="D30" s="124"/>
    </row>
    <row r="31" spans="1:35">
      <c r="A31" s="120">
        <f t="shared" si="0"/>
        <v>97</v>
      </c>
      <c r="B31" s="123">
        <v>1E-3</v>
      </c>
      <c r="C31" s="122">
        <v>1.7657158152558976</v>
      </c>
      <c r="D31" s="124"/>
    </row>
    <row r="32" spans="1:35">
      <c r="A32" s="120">
        <f t="shared" si="0"/>
        <v>98</v>
      </c>
      <c r="B32" s="123"/>
      <c r="C32" s="122">
        <v>1.9795440004833869</v>
      </c>
      <c r="D32" s="124"/>
    </row>
    <row r="33" spans="4:4">
      <c r="D33" s="124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U35"/>
  <sheetViews>
    <sheetView workbookViewId="0"/>
  </sheetViews>
  <sheetFormatPr defaultRowHeight="13.2"/>
  <cols>
    <col min="1" max="10" width="8.88671875" style="15"/>
    <col min="11" max="11" width="9.109375" style="51" customWidth="1"/>
    <col min="12" max="71" width="8.88671875" style="15"/>
    <col min="72" max="73" width="10.109375" style="23" customWidth="1"/>
    <col min="74" max="266" width="8.88671875" style="15"/>
    <col min="267" max="267" width="9.109375" style="15" customWidth="1"/>
    <col min="268" max="327" width="8.88671875" style="15"/>
    <col min="328" max="329" width="10.109375" style="15" customWidth="1"/>
    <col min="330" max="522" width="8.88671875" style="15"/>
    <col min="523" max="523" width="9.109375" style="15" customWidth="1"/>
    <col min="524" max="583" width="8.88671875" style="15"/>
    <col min="584" max="585" width="10.109375" style="15" customWidth="1"/>
    <col min="586" max="778" width="8.88671875" style="15"/>
    <col min="779" max="779" width="9.109375" style="15" customWidth="1"/>
    <col min="780" max="839" width="8.88671875" style="15"/>
    <col min="840" max="841" width="10.109375" style="15" customWidth="1"/>
    <col min="842" max="1034" width="8.88671875" style="15"/>
    <col min="1035" max="1035" width="9.109375" style="15" customWidth="1"/>
    <col min="1036" max="1095" width="8.88671875" style="15"/>
    <col min="1096" max="1097" width="10.109375" style="15" customWidth="1"/>
    <col min="1098" max="1290" width="8.88671875" style="15"/>
    <col min="1291" max="1291" width="9.109375" style="15" customWidth="1"/>
    <col min="1292" max="1351" width="8.88671875" style="15"/>
    <col min="1352" max="1353" width="10.109375" style="15" customWidth="1"/>
    <col min="1354" max="1546" width="8.88671875" style="15"/>
    <col min="1547" max="1547" width="9.109375" style="15" customWidth="1"/>
    <col min="1548" max="1607" width="8.88671875" style="15"/>
    <col min="1608" max="1609" width="10.109375" style="15" customWidth="1"/>
    <col min="1610" max="1802" width="8.88671875" style="15"/>
    <col min="1803" max="1803" width="9.109375" style="15" customWidth="1"/>
    <col min="1804" max="1863" width="8.88671875" style="15"/>
    <col min="1864" max="1865" width="10.109375" style="15" customWidth="1"/>
    <col min="1866" max="2058" width="8.88671875" style="15"/>
    <col min="2059" max="2059" width="9.109375" style="15" customWidth="1"/>
    <col min="2060" max="2119" width="8.88671875" style="15"/>
    <col min="2120" max="2121" width="10.109375" style="15" customWidth="1"/>
    <col min="2122" max="2314" width="8.88671875" style="15"/>
    <col min="2315" max="2315" width="9.109375" style="15" customWidth="1"/>
    <col min="2316" max="2375" width="8.88671875" style="15"/>
    <col min="2376" max="2377" width="10.109375" style="15" customWidth="1"/>
    <col min="2378" max="2570" width="8.88671875" style="15"/>
    <col min="2571" max="2571" width="9.109375" style="15" customWidth="1"/>
    <col min="2572" max="2631" width="8.88671875" style="15"/>
    <col min="2632" max="2633" width="10.109375" style="15" customWidth="1"/>
    <col min="2634" max="2826" width="8.88671875" style="15"/>
    <col min="2827" max="2827" width="9.109375" style="15" customWidth="1"/>
    <col min="2828" max="2887" width="8.88671875" style="15"/>
    <col min="2888" max="2889" width="10.109375" style="15" customWidth="1"/>
    <col min="2890" max="3082" width="8.88671875" style="15"/>
    <col min="3083" max="3083" width="9.109375" style="15" customWidth="1"/>
    <col min="3084" max="3143" width="8.88671875" style="15"/>
    <col min="3144" max="3145" width="10.109375" style="15" customWidth="1"/>
    <col min="3146" max="3338" width="8.88671875" style="15"/>
    <col min="3339" max="3339" width="9.109375" style="15" customWidth="1"/>
    <col min="3340" max="3399" width="8.88671875" style="15"/>
    <col min="3400" max="3401" width="10.109375" style="15" customWidth="1"/>
    <col min="3402" max="3594" width="8.88671875" style="15"/>
    <col min="3595" max="3595" width="9.109375" style="15" customWidth="1"/>
    <col min="3596" max="3655" width="8.88671875" style="15"/>
    <col min="3656" max="3657" width="10.109375" style="15" customWidth="1"/>
    <col min="3658" max="3850" width="8.88671875" style="15"/>
    <col min="3851" max="3851" width="9.109375" style="15" customWidth="1"/>
    <col min="3852" max="3911" width="8.88671875" style="15"/>
    <col min="3912" max="3913" width="10.109375" style="15" customWidth="1"/>
    <col min="3914" max="4106" width="8.88671875" style="15"/>
    <col min="4107" max="4107" width="9.109375" style="15" customWidth="1"/>
    <col min="4108" max="4167" width="8.88671875" style="15"/>
    <col min="4168" max="4169" width="10.109375" style="15" customWidth="1"/>
    <col min="4170" max="4362" width="8.88671875" style="15"/>
    <col min="4363" max="4363" width="9.109375" style="15" customWidth="1"/>
    <col min="4364" max="4423" width="8.88671875" style="15"/>
    <col min="4424" max="4425" width="10.109375" style="15" customWidth="1"/>
    <col min="4426" max="4618" width="8.88671875" style="15"/>
    <col min="4619" max="4619" width="9.109375" style="15" customWidth="1"/>
    <col min="4620" max="4679" width="8.88671875" style="15"/>
    <col min="4680" max="4681" width="10.109375" style="15" customWidth="1"/>
    <col min="4682" max="4874" width="8.88671875" style="15"/>
    <col min="4875" max="4875" width="9.109375" style="15" customWidth="1"/>
    <col min="4876" max="4935" width="8.88671875" style="15"/>
    <col min="4936" max="4937" width="10.109375" style="15" customWidth="1"/>
    <col min="4938" max="5130" width="8.88671875" style="15"/>
    <col min="5131" max="5131" width="9.109375" style="15" customWidth="1"/>
    <col min="5132" max="5191" width="8.88671875" style="15"/>
    <col min="5192" max="5193" width="10.109375" style="15" customWidth="1"/>
    <col min="5194" max="5386" width="8.88671875" style="15"/>
    <col min="5387" max="5387" width="9.109375" style="15" customWidth="1"/>
    <col min="5388" max="5447" width="8.88671875" style="15"/>
    <col min="5448" max="5449" width="10.109375" style="15" customWidth="1"/>
    <col min="5450" max="5642" width="8.88671875" style="15"/>
    <col min="5643" max="5643" width="9.109375" style="15" customWidth="1"/>
    <col min="5644" max="5703" width="8.88671875" style="15"/>
    <col min="5704" max="5705" width="10.109375" style="15" customWidth="1"/>
    <col min="5706" max="5898" width="8.88671875" style="15"/>
    <col min="5899" max="5899" width="9.109375" style="15" customWidth="1"/>
    <col min="5900" max="5959" width="8.88671875" style="15"/>
    <col min="5960" max="5961" width="10.109375" style="15" customWidth="1"/>
    <col min="5962" max="6154" width="8.88671875" style="15"/>
    <col min="6155" max="6155" width="9.109375" style="15" customWidth="1"/>
    <col min="6156" max="6215" width="8.88671875" style="15"/>
    <col min="6216" max="6217" width="10.109375" style="15" customWidth="1"/>
    <col min="6218" max="6410" width="8.88671875" style="15"/>
    <col min="6411" max="6411" width="9.109375" style="15" customWidth="1"/>
    <col min="6412" max="6471" width="8.88671875" style="15"/>
    <col min="6472" max="6473" width="10.109375" style="15" customWidth="1"/>
    <col min="6474" max="6666" width="8.88671875" style="15"/>
    <col min="6667" max="6667" width="9.109375" style="15" customWidth="1"/>
    <col min="6668" max="6727" width="8.88671875" style="15"/>
    <col min="6728" max="6729" width="10.109375" style="15" customWidth="1"/>
    <col min="6730" max="6922" width="8.88671875" style="15"/>
    <col min="6923" max="6923" width="9.109375" style="15" customWidth="1"/>
    <col min="6924" max="6983" width="8.88671875" style="15"/>
    <col min="6984" max="6985" width="10.109375" style="15" customWidth="1"/>
    <col min="6986" max="7178" width="8.88671875" style="15"/>
    <col min="7179" max="7179" width="9.109375" style="15" customWidth="1"/>
    <col min="7180" max="7239" width="8.88671875" style="15"/>
    <col min="7240" max="7241" width="10.109375" style="15" customWidth="1"/>
    <col min="7242" max="7434" width="8.88671875" style="15"/>
    <col min="7435" max="7435" width="9.109375" style="15" customWidth="1"/>
    <col min="7436" max="7495" width="8.88671875" style="15"/>
    <col min="7496" max="7497" width="10.109375" style="15" customWidth="1"/>
    <col min="7498" max="7690" width="8.88671875" style="15"/>
    <col min="7691" max="7691" width="9.109375" style="15" customWidth="1"/>
    <col min="7692" max="7751" width="8.88671875" style="15"/>
    <col min="7752" max="7753" width="10.109375" style="15" customWidth="1"/>
    <col min="7754" max="7946" width="8.88671875" style="15"/>
    <col min="7947" max="7947" width="9.109375" style="15" customWidth="1"/>
    <col min="7948" max="8007" width="8.88671875" style="15"/>
    <col min="8008" max="8009" width="10.109375" style="15" customWidth="1"/>
    <col min="8010" max="8202" width="8.88671875" style="15"/>
    <col min="8203" max="8203" width="9.109375" style="15" customWidth="1"/>
    <col min="8204" max="8263" width="8.88671875" style="15"/>
    <col min="8264" max="8265" width="10.109375" style="15" customWidth="1"/>
    <col min="8266" max="8458" width="8.88671875" style="15"/>
    <col min="8459" max="8459" width="9.109375" style="15" customWidth="1"/>
    <col min="8460" max="8519" width="8.88671875" style="15"/>
    <col min="8520" max="8521" width="10.109375" style="15" customWidth="1"/>
    <col min="8522" max="8714" width="8.88671875" style="15"/>
    <col min="8715" max="8715" width="9.109375" style="15" customWidth="1"/>
    <col min="8716" max="8775" width="8.88671875" style="15"/>
    <col min="8776" max="8777" width="10.109375" style="15" customWidth="1"/>
    <col min="8778" max="8970" width="8.88671875" style="15"/>
    <col min="8971" max="8971" width="9.109375" style="15" customWidth="1"/>
    <col min="8972" max="9031" width="8.88671875" style="15"/>
    <col min="9032" max="9033" width="10.109375" style="15" customWidth="1"/>
    <col min="9034" max="9226" width="8.88671875" style="15"/>
    <col min="9227" max="9227" width="9.109375" style="15" customWidth="1"/>
    <col min="9228" max="9287" width="8.88671875" style="15"/>
    <col min="9288" max="9289" width="10.109375" style="15" customWidth="1"/>
    <col min="9290" max="9482" width="8.88671875" style="15"/>
    <col min="9483" max="9483" width="9.109375" style="15" customWidth="1"/>
    <col min="9484" max="9543" width="8.88671875" style="15"/>
    <col min="9544" max="9545" width="10.109375" style="15" customWidth="1"/>
    <col min="9546" max="9738" width="8.88671875" style="15"/>
    <col min="9739" max="9739" width="9.109375" style="15" customWidth="1"/>
    <col min="9740" max="9799" width="8.88671875" style="15"/>
    <col min="9800" max="9801" width="10.109375" style="15" customWidth="1"/>
    <col min="9802" max="9994" width="8.88671875" style="15"/>
    <col min="9995" max="9995" width="9.109375" style="15" customWidth="1"/>
    <col min="9996" max="10055" width="8.88671875" style="15"/>
    <col min="10056" max="10057" width="10.109375" style="15" customWidth="1"/>
    <col min="10058" max="10250" width="8.88671875" style="15"/>
    <col min="10251" max="10251" width="9.109375" style="15" customWidth="1"/>
    <col min="10252" max="10311" width="8.88671875" style="15"/>
    <col min="10312" max="10313" width="10.109375" style="15" customWidth="1"/>
    <col min="10314" max="10506" width="8.88671875" style="15"/>
    <col min="10507" max="10507" width="9.109375" style="15" customWidth="1"/>
    <col min="10508" max="10567" width="8.88671875" style="15"/>
    <col min="10568" max="10569" width="10.109375" style="15" customWidth="1"/>
    <col min="10570" max="10762" width="8.88671875" style="15"/>
    <col min="10763" max="10763" width="9.109375" style="15" customWidth="1"/>
    <col min="10764" max="10823" width="8.88671875" style="15"/>
    <col min="10824" max="10825" width="10.109375" style="15" customWidth="1"/>
    <col min="10826" max="11018" width="8.88671875" style="15"/>
    <col min="11019" max="11019" width="9.109375" style="15" customWidth="1"/>
    <col min="11020" max="11079" width="8.88671875" style="15"/>
    <col min="11080" max="11081" width="10.109375" style="15" customWidth="1"/>
    <col min="11082" max="11274" width="8.88671875" style="15"/>
    <col min="11275" max="11275" width="9.109375" style="15" customWidth="1"/>
    <col min="11276" max="11335" width="8.88671875" style="15"/>
    <col min="11336" max="11337" width="10.109375" style="15" customWidth="1"/>
    <col min="11338" max="11530" width="8.88671875" style="15"/>
    <col min="11531" max="11531" width="9.109375" style="15" customWidth="1"/>
    <col min="11532" max="11591" width="8.88671875" style="15"/>
    <col min="11592" max="11593" width="10.109375" style="15" customWidth="1"/>
    <col min="11594" max="11786" width="8.88671875" style="15"/>
    <col min="11787" max="11787" width="9.109375" style="15" customWidth="1"/>
    <col min="11788" max="11847" width="8.88671875" style="15"/>
    <col min="11848" max="11849" width="10.109375" style="15" customWidth="1"/>
    <col min="11850" max="12042" width="8.88671875" style="15"/>
    <col min="12043" max="12043" width="9.109375" style="15" customWidth="1"/>
    <col min="12044" max="12103" width="8.88671875" style="15"/>
    <col min="12104" max="12105" width="10.109375" style="15" customWidth="1"/>
    <col min="12106" max="12298" width="8.88671875" style="15"/>
    <col min="12299" max="12299" width="9.109375" style="15" customWidth="1"/>
    <col min="12300" max="12359" width="8.88671875" style="15"/>
    <col min="12360" max="12361" width="10.109375" style="15" customWidth="1"/>
    <col min="12362" max="12554" width="8.88671875" style="15"/>
    <col min="12555" max="12555" width="9.109375" style="15" customWidth="1"/>
    <col min="12556" max="12615" width="8.88671875" style="15"/>
    <col min="12616" max="12617" width="10.109375" style="15" customWidth="1"/>
    <col min="12618" max="12810" width="8.88671875" style="15"/>
    <col min="12811" max="12811" width="9.109375" style="15" customWidth="1"/>
    <col min="12812" max="12871" width="8.88671875" style="15"/>
    <col min="12872" max="12873" width="10.109375" style="15" customWidth="1"/>
    <col min="12874" max="13066" width="8.88671875" style="15"/>
    <col min="13067" max="13067" width="9.109375" style="15" customWidth="1"/>
    <col min="13068" max="13127" width="8.88671875" style="15"/>
    <col min="13128" max="13129" width="10.109375" style="15" customWidth="1"/>
    <col min="13130" max="13322" width="8.88671875" style="15"/>
    <col min="13323" max="13323" width="9.109375" style="15" customWidth="1"/>
    <col min="13324" max="13383" width="8.88671875" style="15"/>
    <col min="13384" max="13385" width="10.109375" style="15" customWidth="1"/>
    <col min="13386" max="13578" width="8.88671875" style="15"/>
    <col min="13579" max="13579" width="9.109375" style="15" customWidth="1"/>
    <col min="13580" max="13639" width="8.88671875" style="15"/>
    <col min="13640" max="13641" width="10.109375" style="15" customWidth="1"/>
    <col min="13642" max="13834" width="8.88671875" style="15"/>
    <col min="13835" max="13835" width="9.109375" style="15" customWidth="1"/>
    <col min="13836" max="13895" width="8.88671875" style="15"/>
    <col min="13896" max="13897" width="10.109375" style="15" customWidth="1"/>
    <col min="13898" max="14090" width="8.88671875" style="15"/>
    <col min="14091" max="14091" width="9.109375" style="15" customWidth="1"/>
    <col min="14092" max="14151" width="8.88671875" style="15"/>
    <col min="14152" max="14153" width="10.109375" style="15" customWidth="1"/>
    <col min="14154" max="14346" width="8.88671875" style="15"/>
    <col min="14347" max="14347" width="9.109375" style="15" customWidth="1"/>
    <col min="14348" max="14407" width="8.88671875" style="15"/>
    <col min="14408" max="14409" width="10.109375" style="15" customWidth="1"/>
    <col min="14410" max="14602" width="8.88671875" style="15"/>
    <col min="14603" max="14603" width="9.109375" style="15" customWidth="1"/>
    <col min="14604" max="14663" width="8.88671875" style="15"/>
    <col min="14664" max="14665" width="10.109375" style="15" customWidth="1"/>
    <col min="14666" max="14858" width="8.88671875" style="15"/>
    <col min="14859" max="14859" width="9.109375" style="15" customWidth="1"/>
    <col min="14860" max="14919" width="8.88671875" style="15"/>
    <col min="14920" max="14921" width="10.109375" style="15" customWidth="1"/>
    <col min="14922" max="15114" width="8.88671875" style="15"/>
    <col min="15115" max="15115" width="9.109375" style="15" customWidth="1"/>
    <col min="15116" max="15175" width="8.88671875" style="15"/>
    <col min="15176" max="15177" width="10.109375" style="15" customWidth="1"/>
    <col min="15178" max="15370" width="8.88671875" style="15"/>
    <col min="15371" max="15371" width="9.109375" style="15" customWidth="1"/>
    <col min="15372" max="15431" width="8.88671875" style="15"/>
    <col min="15432" max="15433" width="10.109375" style="15" customWidth="1"/>
    <col min="15434" max="15626" width="8.88671875" style="15"/>
    <col min="15627" max="15627" width="9.109375" style="15" customWidth="1"/>
    <col min="15628" max="15687" width="8.88671875" style="15"/>
    <col min="15688" max="15689" width="10.109375" style="15" customWidth="1"/>
    <col min="15690" max="15882" width="8.88671875" style="15"/>
    <col min="15883" max="15883" width="9.109375" style="15" customWidth="1"/>
    <col min="15884" max="15943" width="8.88671875" style="15"/>
    <col min="15944" max="15945" width="10.109375" style="15" customWidth="1"/>
    <col min="15946" max="16138" width="8.88671875" style="15"/>
    <col min="16139" max="16139" width="9.109375" style="15" customWidth="1"/>
    <col min="16140" max="16199" width="8.88671875" style="15"/>
    <col min="16200" max="16201" width="10.109375" style="15" customWidth="1"/>
    <col min="16202" max="16384" width="8.88671875" style="15"/>
  </cols>
  <sheetData>
    <row r="1" spans="1:73">
      <c r="A1" s="15" t="s">
        <v>162</v>
      </c>
    </row>
    <row r="2" spans="1:73">
      <c r="B2" s="17"/>
      <c r="C2" s="53"/>
      <c r="E2" s="74">
        <f>SUM(E6:E35)</f>
        <v>0.15551292492503763</v>
      </c>
      <c r="F2" s="74" t="s">
        <v>163</v>
      </c>
      <c r="H2" s="17"/>
    </row>
    <row r="3" spans="1:73">
      <c r="B3" s="17"/>
      <c r="C3" s="53"/>
      <c r="E3" s="15" t="s">
        <v>29</v>
      </c>
      <c r="F3" s="53">
        <f>SUM(F6:F35)</f>
        <v>7.4654763772614068</v>
      </c>
      <c r="G3" s="15" t="s">
        <v>102</v>
      </c>
      <c r="BT3" s="75"/>
    </row>
    <row r="4" spans="1:73">
      <c r="C4" s="27" t="s">
        <v>35</v>
      </c>
      <c r="D4" s="27" t="s">
        <v>36</v>
      </c>
      <c r="E4" s="27" t="s">
        <v>37</v>
      </c>
      <c r="F4" s="27" t="s">
        <v>103</v>
      </c>
      <c r="G4" s="27" t="s">
        <v>37</v>
      </c>
      <c r="H4" s="27"/>
      <c r="I4" s="27"/>
      <c r="K4" s="76"/>
      <c r="BT4" s="75"/>
      <c r="BU4" s="75"/>
    </row>
    <row r="5" spans="1:73">
      <c r="A5" s="27" t="s">
        <v>38</v>
      </c>
      <c r="B5" s="27" t="s">
        <v>34</v>
      </c>
      <c r="H5" s="23"/>
    </row>
    <row r="6" spans="1:73">
      <c r="A6" s="15">
        <f>1+D1</f>
        <v>1</v>
      </c>
      <c r="B6" s="41">
        <v>3.3E-3</v>
      </c>
      <c r="C6" s="41">
        <f>1-B6</f>
        <v>0.99670000000000003</v>
      </c>
      <c r="D6" s="41">
        <f>C6</f>
        <v>0.99670000000000003</v>
      </c>
      <c r="E6" s="41">
        <f>B6</f>
        <v>3.3E-3</v>
      </c>
      <c r="F6" s="41">
        <f>(E6/E$2)*A6</f>
        <v>2.1220101169023148E-2</v>
      </c>
      <c r="G6" s="41">
        <f>1-D6</f>
        <v>3.2999999999999696E-3</v>
      </c>
      <c r="H6" s="23"/>
      <c r="I6" s="23"/>
      <c r="J6" s="23"/>
    </row>
    <row r="7" spans="1:73">
      <c r="A7" s="15">
        <f t="shared" ref="A7:A35" si="0">1+A6</f>
        <v>2</v>
      </c>
      <c r="B7" s="41">
        <v>1.1900000000000001E-2</v>
      </c>
      <c r="C7" s="41">
        <f t="shared" ref="C7:C35" si="1">1-B7</f>
        <v>0.98809999999999998</v>
      </c>
      <c r="D7" s="41">
        <f>C7*D6</f>
        <v>0.98483927000000004</v>
      </c>
      <c r="E7" s="41">
        <f>B7*D6</f>
        <v>1.1860730000000002E-2</v>
      </c>
      <c r="F7" s="41">
        <f t="shared" ref="F7:F35" si="2">(E7/E$2)*A7</f>
        <v>0.15253690335664724</v>
      </c>
      <c r="G7" s="41">
        <f>1-D7</f>
        <v>1.5160729999999956E-2</v>
      </c>
      <c r="H7" s="23"/>
      <c r="I7" s="23"/>
      <c r="J7" s="23"/>
    </row>
    <row r="8" spans="1:73">
      <c r="A8" s="15">
        <f t="shared" si="0"/>
        <v>3</v>
      </c>
      <c r="B8" s="41">
        <v>1.6400000000000001E-2</v>
      </c>
      <c r="C8" s="41">
        <f t="shared" si="1"/>
        <v>0.98360000000000003</v>
      </c>
      <c r="D8" s="41">
        <f>C8*D7</f>
        <v>0.96868790597200005</v>
      </c>
      <c r="E8" s="41">
        <f>B8*D7</f>
        <v>1.6151364028000003E-2</v>
      </c>
      <c r="F8" s="41">
        <f t="shared" si="2"/>
        <v>0.31157598062898301</v>
      </c>
      <c r="G8" s="41">
        <f>1-D8</f>
        <v>3.1312094027999948E-2</v>
      </c>
      <c r="H8" s="23"/>
      <c r="I8" s="23"/>
      <c r="J8" s="23"/>
    </row>
    <row r="9" spans="1:73">
      <c r="A9" s="15">
        <f t="shared" si="0"/>
        <v>4</v>
      </c>
      <c r="B9" s="41">
        <v>1.7100000000000001E-2</v>
      </c>
      <c r="C9" s="41">
        <f t="shared" si="1"/>
        <v>0.9829</v>
      </c>
      <c r="D9" s="41">
        <f t="shared" ref="D9:D35" si="3">C9*D8</f>
        <v>0.95212334277987887</v>
      </c>
      <c r="E9" s="41">
        <f t="shared" ref="E9:E35" si="4">B9*D8</f>
        <v>1.6564563192121202E-2</v>
      </c>
      <c r="F9" s="41">
        <f t="shared" si="2"/>
        <v>0.42606267485756233</v>
      </c>
      <c r="G9" s="41">
        <f t="shared" ref="G9:G35" si="5">1-D9</f>
        <v>4.7876657220121133E-2</v>
      </c>
      <c r="H9" s="23"/>
      <c r="I9" s="23"/>
      <c r="J9" s="23"/>
    </row>
    <row r="10" spans="1:73">
      <c r="A10" s="15">
        <f t="shared" si="0"/>
        <v>5</v>
      </c>
      <c r="B10" s="41">
        <v>1.67E-2</v>
      </c>
      <c r="C10" s="41">
        <f t="shared" si="1"/>
        <v>0.98329999999999995</v>
      </c>
      <c r="D10" s="41">
        <f t="shared" si="3"/>
        <v>0.93622288295545486</v>
      </c>
      <c r="E10" s="41">
        <f t="shared" si="4"/>
        <v>1.5900459824423976E-2</v>
      </c>
      <c r="F10" s="41">
        <f t="shared" si="2"/>
        <v>0.51122631228524973</v>
      </c>
      <c r="G10" s="41">
        <f t="shared" si="5"/>
        <v>6.377711704454514E-2</v>
      </c>
      <c r="H10" s="23"/>
      <c r="I10" s="23"/>
      <c r="J10" s="23"/>
    </row>
    <row r="11" spans="1:73">
      <c r="A11" s="15">
        <f t="shared" si="0"/>
        <v>6</v>
      </c>
      <c r="B11" s="41">
        <v>1.8100000000000002E-2</v>
      </c>
      <c r="C11" s="41">
        <f t="shared" si="1"/>
        <v>0.9819</v>
      </c>
      <c r="D11" s="41">
        <f t="shared" si="3"/>
        <v>0.91927724877396111</v>
      </c>
      <c r="E11" s="41">
        <f t="shared" si="4"/>
        <v>1.6945634181493734E-2</v>
      </c>
      <c r="F11" s="41">
        <f t="shared" si="2"/>
        <v>0.65379649400827966</v>
      </c>
      <c r="G11" s="41">
        <f t="shared" si="5"/>
        <v>8.0722751226038891E-2</v>
      </c>
      <c r="H11" s="23"/>
      <c r="I11" s="23"/>
      <c r="J11" s="23"/>
    </row>
    <row r="12" spans="1:73">
      <c r="A12" s="15">
        <f t="shared" si="0"/>
        <v>7</v>
      </c>
      <c r="B12" s="41">
        <v>1.66E-2</v>
      </c>
      <c r="C12" s="41">
        <f t="shared" si="1"/>
        <v>0.98340000000000005</v>
      </c>
      <c r="D12" s="41">
        <f t="shared" si="3"/>
        <v>0.90401724644431336</v>
      </c>
      <c r="E12" s="41">
        <f t="shared" si="4"/>
        <v>1.5260002329647755E-2</v>
      </c>
      <c r="F12" s="41">
        <f t="shared" si="2"/>
        <v>0.68688834937047871</v>
      </c>
      <c r="G12" s="41">
        <f t="shared" si="5"/>
        <v>9.598275355568664E-2</v>
      </c>
      <c r="H12" s="23"/>
      <c r="I12" s="23"/>
      <c r="J12" s="23"/>
    </row>
    <row r="13" spans="1:73">
      <c r="A13" s="15">
        <f t="shared" si="0"/>
        <v>8</v>
      </c>
      <c r="B13" s="41">
        <v>1.0800000000000001E-2</v>
      </c>
      <c r="C13" s="41">
        <f t="shared" si="1"/>
        <v>0.98919999999999997</v>
      </c>
      <c r="D13" s="41">
        <f t="shared" si="3"/>
        <v>0.8942538601827148</v>
      </c>
      <c r="E13" s="41">
        <f t="shared" si="4"/>
        <v>9.7633862615985854E-3</v>
      </c>
      <c r="F13" s="41">
        <f t="shared" si="2"/>
        <v>0.50225465266272162</v>
      </c>
      <c r="G13" s="41">
        <f t="shared" si="5"/>
        <v>0.1057461398172852</v>
      </c>
      <c r="H13" s="23"/>
      <c r="I13" s="23"/>
      <c r="J13" s="23"/>
    </row>
    <row r="14" spans="1:73">
      <c r="A14" s="15">
        <f t="shared" si="0"/>
        <v>9</v>
      </c>
      <c r="B14" s="41">
        <v>9.5999999999999992E-3</v>
      </c>
      <c r="C14" s="41">
        <f t="shared" si="1"/>
        <v>0.99039999999999995</v>
      </c>
      <c r="D14" s="41">
        <f t="shared" si="3"/>
        <v>0.88566902312496065</v>
      </c>
      <c r="E14" s="41">
        <f t="shared" si="4"/>
        <v>8.5848370577540616E-3</v>
      </c>
      <c r="F14" s="41">
        <f t="shared" si="2"/>
        <v>0.4968303024139642</v>
      </c>
      <c r="G14" s="41">
        <f t="shared" si="5"/>
        <v>0.11433097687503935</v>
      </c>
      <c r="H14" s="23"/>
      <c r="I14" s="23"/>
      <c r="J14" s="23"/>
    </row>
    <row r="15" spans="1:73">
      <c r="A15" s="15">
        <f t="shared" si="0"/>
        <v>10</v>
      </c>
      <c r="B15" s="41">
        <v>7.1999999999999998E-3</v>
      </c>
      <c r="C15" s="41">
        <f t="shared" si="1"/>
        <v>0.99280000000000002</v>
      </c>
      <c r="D15" s="41">
        <f t="shared" si="3"/>
        <v>0.87929220615846093</v>
      </c>
      <c r="E15" s="41">
        <f t="shared" si="4"/>
        <v>6.3768169664997166E-3</v>
      </c>
      <c r="F15" s="41">
        <f t="shared" si="2"/>
        <v>0.41005060959232509</v>
      </c>
      <c r="G15" s="41">
        <f t="shared" si="5"/>
        <v>0.12070779384153907</v>
      </c>
      <c r="H15" s="23"/>
      <c r="I15" s="23"/>
      <c r="J15" s="23"/>
    </row>
    <row r="16" spans="1:73">
      <c r="A16" s="15">
        <f t="shared" si="0"/>
        <v>11</v>
      </c>
      <c r="B16" s="41">
        <v>6.8999999999999999E-3</v>
      </c>
      <c r="C16" s="41">
        <f t="shared" si="1"/>
        <v>0.99309999999999998</v>
      </c>
      <c r="D16" s="41">
        <f t="shared" si="3"/>
        <v>0.87322508993596759</v>
      </c>
      <c r="E16" s="41">
        <f t="shared" si="4"/>
        <v>6.0671162224933805E-3</v>
      </c>
      <c r="F16" s="41">
        <f t="shared" si="2"/>
        <v>0.42914940015177028</v>
      </c>
      <c r="G16" s="41">
        <f t="shared" si="5"/>
        <v>0.12677491006403241</v>
      </c>
      <c r="H16" s="23"/>
      <c r="I16" s="23"/>
      <c r="J16" s="23"/>
    </row>
    <row r="17" spans="1:10">
      <c r="A17" s="15">
        <f t="shared" si="0"/>
        <v>12</v>
      </c>
      <c r="B17" s="41">
        <v>5.4999999999999997E-3</v>
      </c>
      <c r="C17" s="41">
        <f t="shared" si="1"/>
        <v>0.99450000000000005</v>
      </c>
      <c r="D17" s="41">
        <f t="shared" si="3"/>
        <v>0.86842235194131978</v>
      </c>
      <c r="E17" s="41">
        <f t="shared" si="4"/>
        <v>4.8027379946478212E-3</v>
      </c>
      <c r="F17" s="41">
        <f t="shared" si="2"/>
        <v>0.37059849503541131</v>
      </c>
      <c r="G17" s="41">
        <f t="shared" si="5"/>
        <v>0.13157764805868022</v>
      </c>
      <c r="H17" s="23"/>
      <c r="I17" s="23"/>
      <c r="J17" s="23"/>
    </row>
    <row r="18" spans="1:10">
      <c r="A18" s="15">
        <f t="shared" si="0"/>
        <v>13</v>
      </c>
      <c r="B18" s="41">
        <v>5.1000000000000004E-3</v>
      </c>
      <c r="C18" s="41">
        <f t="shared" si="1"/>
        <v>0.99490000000000001</v>
      </c>
      <c r="D18" s="41">
        <f t="shared" si="3"/>
        <v>0.86399339794641905</v>
      </c>
      <c r="E18" s="41">
        <f t="shared" si="4"/>
        <v>4.4289539949007315E-3</v>
      </c>
      <c r="F18" s="41">
        <f t="shared" si="2"/>
        <v>0.37023547696413811</v>
      </c>
      <c r="G18" s="41">
        <f t="shared" si="5"/>
        <v>0.13600660205358095</v>
      </c>
      <c r="H18" s="23"/>
      <c r="I18" s="23"/>
      <c r="J18" s="23"/>
    </row>
    <row r="19" spans="1:10">
      <c r="A19" s="15">
        <f t="shared" si="0"/>
        <v>14</v>
      </c>
      <c r="B19" s="41">
        <v>4.3E-3</v>
      </c>
      <c r="C19" s="41">
        <f t="shared" si="1"/>
        <v>0.99570000000000003</v>
      </c>
      <c r="D19" s="41">
        <f t="shared" si="3"/>
        <v>0.86027822633524953</v>
      </c>
      <c r="E19" s="41">
        <f t="shared" si="4"/>
        <v>3.7151716111696021E-3</v>
      </c>
      <c r="F19" s="41">
        <f t="shared" si="2"/>
        <v>0.33445710433037079</v>
      </c>
      <c r="G19" s="41">
        <f t="shared" si="5"/>
        <v>0.13972177366475047</v>
      </c>
      <c r="H19" s="23"/>
      <c r="I19" s="23"/>
      <c r="J19" s="23"/>
    </row>
    <row r="20" spans="1:10">
      <c r="A20" s="15">
        <f t="shared" si="0"/>
        <v>15</v>
      </c>
      <c r="B20" s="41">
        <v>3.0999999999999999E-3</v>
      </c>
      <c r="C20" s="41">
        <f t="shared" si="1"/>
        <v>0.99690000000000001</v>
      </c>
      <c r="D20" s="41">
        <f t="shared" si="3"/>
        <v>0.85761136383361025</v>
      </c>
      <c r="E20" s="41">
        <f t="shared" si="4"/>
        <v>2.6668625016392734E-3</v>
      </c>
      <c r="F20" s="41">
        <f t="shared" si="2"/>
        <v>0.25723223676663431</v>
      </c>
      <c r="G20" s="41">
        <f t="shared" si="5"/>
        <v>0.14238863616638975</v>
      </c>
      <c r="H20" s="23"/>
      <c r="I20" s="23"/>
      <c r="J20" s="23"/>
    </row>
    <row r="21" spans="1:10">
      <c r="A21" s="15">
        <f t="shared" si="0"/>
        <v>16</v>
      </c>
      <c r="B21" s="41">
        <v>4.3E-3</v>
      </c>
      <c r="C21" s="41">
        <f t="shared" si="1"/>
        <v>0.99570000000000003</v>
      </c>
      <c r="D21" s="41">
        <f t="shared" si="3"/>
        <v>0.85392363496912571</v>
      </c>
      <c r="E21" s="41">
        <f t="shared" si="4"/>
        <v>3.6877288644845243E-3</v>
      </c>
      <c r="F21" s="41">
        <f t="shared" si="2"/>
        <v>0.37941323436745922</v>
      </c>
      <c r="G21" s="41">
        <f t="shared" si="5"/>
        <v>0.14607636503087429</v>
      </c>
      <c r="H21" s="23"/>
      <c r="I21" s="23"/>
      <c r="J21" s="23"/>
    </row>
    <row r="22" spans="1:10">
      <c r="A22" s="15">
        <f t="shared" si="0"/>
        <v>17</v>
      </c>
      <c r="B22" s="41">
        <v>3.7000000000000002E-3</v>
      </c>
      <c r="C22" s="41">
        <f t="shared" si="1"/>
        <v>0.99629999999999996</v>
      </c>
      <c r="D22" s="41">
        <f t="shared" si="3"/>
        <v>0.8507641175197399</v>
      </c>
      <c r="E22" s="41">
        <f t="shared" si="4"/>
        <v>3.1595174493857653E-3</v>
      </c>
      <c r="F22" s="41">
        <f t="shared" si="2"/>
        <v>0.34538477535194501</v>
      </c>
      <c r="G22" s="41">
        <f t="shared" si="5"/>
        <v>0.1492358824802601</v>
      </c>
      <c r="H22" s="23"/>
      <c r="I22" s="23"/>
      <c r="J22" s="23"/>
    </row>
    <row r="23" spans="1:10">
      <c r="A23" s="15">
        <f t="shared" si="0"/>
        <v>18</v>
      </c>
      <c r="B23" s="41">
        <v>1.8E-3</v>
      </c>
      <c r="C23" s="41">
        <f t="shared" si="1"/>
        <v>0.99819999999999998</v>
      </c>
      <c r="D23" s="41">
        <f t="shared" si="3"/>
        <v>0.84923274210820432</v>
      </c>
      <c r="E23" s="41">
        <f t="shared" si="4"/>
        <v>1.5313754115355317E-3</v>
      </c>
      <c r="F23" s="41">
        <f t="shared" si="2"/>
        <v>0.17725058814839151</v>
      </c>
      <c r="G23" s="41">
        <f t="shared" si="5"/>
        <v>0.15076725789179568</v>
      </c>
      <c r="H23" s="23"/>
      <c r="I23" s="23"/>
      <c r="J23" s="23"/>
    </row>
    <row r="24" spans="1:10">
      <c r="A24" s="15">
        <f t="shared" si="0"/>
        <v>19</v>
      </c>
      <c r="B24" s="41">
        <v>1.4E-3</v>
      </c>
      <c r="C24" s="41">
        <f t="shared" si="1"/>
        <v>0.99860000000000004</v>
      </c>
      <c r="D24" s="41">
        <f t="shared" si="3"/>
        <v>0.84804381626925285</v>
      </c>
      <c r="E24" s="41">
        <f t="shared" si="4"/>
        <v>1.1889258389514859E-3</v>
      </c>
      <c r="F24" s="41">
        <f t="shared" si="2"/>
        <v>0.14525860761069964</v>
      </c>
      <c r="G24" s="41">
        <f t="shared" si="5"/>
        <v>0.15195618373074715</v>
      </c>
      <c r="H24" s="23"/>
      <c r="I24" s="23"/>
      <c r="J24" s="23"/>
    </row>
    <row r="25" spans="1:10">
      <c r="A25" s="15">
        <f t="shared" si="0"/>
        <v>20</v>
      </c>
      <c r="B25" s="41">
        <v>2E-3</v>
      </c>
      <c r="C25" s="41">
        <f t="shared" si="1"/>
        <v>0.998</v>
      </c>
      <c r="D25" s="41">
        <f t="shared" si="3"/>
        <v>0.84634772863671437</v>
      </c>
      <c r="E25" s="41">
        <f t="shared" si="4"/>
        <v>1.6960876325385057E-3</v>
      </c>
      <c r="F25" s="41">
        <f t="shared" si="2"/>
        <v>0.21812818881209728</v>
      </c>
      <c r="G25" s="41">
        <f t="shared" si="5"/>
        <v>0.15365227136328563</v>
      </c>
      <c r="H25" s="23"/>
      <c r="I25" s="23"/>
      <c r="J25" s="23"/>
    </row>
    <row r="26" spans="1:10">
      <c r="A26" s="15">
        <f t="shared" si="0"/>
        <v>21</v>
      </c>
      <c r="B26" s="41">
        <v>1.1999999999999999E-3</v>
      </c>
      <c r="C26" s="41">
        <f t="shared" si="1"/>
        <v>0.99880000000000002</v>
      </c>
      <c r="D26" s="41">
        <f t="shared" si="3"/>
        <v>0.84533211136235031</v>
      </c>
      <c r="E26" s="41">
        <f t="shared" si="4"/>
        <v>1.0156172743640572E-3</v>
      </c>
      <c r="F26" s="41">
        <f t="shared" si="2"/>
        <v>0.13714591743371804</v>
      </c>
      <c r="G26" s="41">
        <f t="shared" si="5"/>
        <v>0.15466788863764969</v>
      </c>
      <c r="H26" s="23"/>
      <c r="I26" s="23"/>
      <c r="J26" s="23"/>
    </row>
    <row r="27" spans="1:10">
      <c r="A27" s="15">
        <f t="shared" si="0"/>
        <v>22</v>
      </c>
      <c r="B27" s="41">
        <v>4.0000000000000002E-4</v>
      </c>
      <c r="C27" s="41">
        <f t="shared" si="1"/>
        <v>0.99960000000000004</v>
      </c>
      <c r="D27" s="41">
        <f t="shared" si="3"/>
        <v>0.84499397851780544</v>
      </c>
      <c r="E27" s="41">
        <f t="shared" si="4"/>
        <v>3.3813284454494016E-4</v>
      </c>
      <c r="F27" s="41">
        <f t="shared" si="2"/>
        <v>4.7834754465421382E-2</v>
      </c>
      <c r="G27" s="41">
        <f t="shared" si="5"/>
        <v>0.15500602148219456</v>
      </c>
      <c r="H27" s="23"/>
      <c r="I27" s="23"/>
      <c r="J27" s="23"/>
    </row>
    <row r="28" spans="1:10">
      <c r="A28" s="15">
        <f t="shared" si="0"/>
        <v>23</v>
      </c>
      <c r="B28" s="41">
        <v>1E-4</v>
      </c>
      <c r="C28" s="41">
        <f t="shared" si="1"/>
        <v>0.99990000000000001</v>
      </c>
      <c r="D28" s="41">
        <f t="shared" si="3"/>
        <v>0.84490947911995362</v>
      </c>
      <c r="E28" s="41">
        <f t="shared" si="4"/>
        <v>8.4499397851780551E-5</v>
      </c>
      <c r="F28" s="41">
        <f t="shared" si="2"/>
        <v>1.2497264465495568E-2</v>
      </c>
      <c r="G28" s="41">
        <f t="shared" si="5"/>
        <v>0.15509052088004638</v>
      </c>
      <c r="H28" s="23"/>
      <c r="I28" s="23"/>
      <c r="J28" s="23"/>
    </row>
    <row r="29" spans="1:10">
      <c r="A29" s="15">
        <f t="shared" si="0"/>
        <v>24</v>
      </c>
      <c r="B29" s="41">
        <v>2.0000000000000001E-4</v>
      </c>
      <c r="C29" s="41">
        <f t="shared" si="1"/>
        <v>0.99980000000000002</v>
      </c>
      <c r="D29" s="41">
        <f t="shared" si="3"/>
        <v>0.84474049722412969</v>
      </c>
      <c r="E29" s="41">
        <f t="shared" si="4"/>
        <v>1.6898189582399074E-4</v>
      </c>
      <c r="F29" s="41">
        <f t="shared" si="2"/>
        <v>2.6078639455406644E-2</v>
      </c>
      <c r="G29" s="41">
        <f t="shared" si="5"/>
        <v>0.15525950277587031</v>
      </c>
      <c r="H29" s="23"/>
      <c r="I29" s="23"/>
      <c r="J29" s="23"/>
    </row>
    <row r="30" spans="1:10">
      <c r="A30" s="15">
        <f t="shared" si="0"/>
        <v>25</v>
      </c>
      <c r="B30" s="41">
        <v>0</v>
      </c>
      <c r="C30" s="41">
        <f t="shared" si="1"/>
        <v>1</v>
      </c>
      <c r="D30" s="41">
        <f t="shared" si="3"/>
        <v>0.84474049722412969</v>
      </c>
      <c r="E30" s="41">
        <f t="shared" si="4"/>
        <v>0</v>
      </c>
      <c r="F30" s="41">
        <f t="shared" si="2"/>
        <v>0</v>
      </c>
      <c r="G30" s="41">
        <f t="shared" si="5"/>
        <v>0.15525950277587031</v>
      </c>
      <c r="H30" s="23"/>
      <c r="I30" s="23"/>
      <c r="J30" s="23"/>
    </row>
    <row r="31" spans="1:10">
      <c r="A31" s="15">
        <f t="shared" si="0"/>
        <v>26</v>
      </c>
      <c r="B31" s="41">
        <v>2.9999999999999997E-4</v>
      </c>
      <c r="C31" s="41">
        <f t="shared" si="1"/>
        <v>0.99970000000000003</v>
      </c>
      <c r="D31" s="41">
        <f t="shared" si="3"/>
        <v>0.84448707507496246</v>
      </c>
      <c r="E31" s="41">
        <f t="shared" si="4"/>
        <v>2.5342214916723889E-4</v>
      </c>
      <c r="F31" s="41">
        <f t="shared" si="2"/>
        <v>4.2369313557212782E-2</v>
      </c>
      <c r="G31" s="41">
        <f t="shared" si="5"/>
        <v>0.15551292492503754</v>
      </c>
      <c r="H31" s="23"/>
      <c r="I31" s="23"/>
      <c r="J31" s="23"/>
    </row>
    <row r="32" spans="1:10">
      <c r="A32" s="15">
        <f t="shared" si="0"/>
        <v>27</v>
      </c>
      <c r="B32" s="41">
        <v>0</v>
      </c>
      <c r="C32" s="41">
        <f t="shared" si="1"/>
        <v>1</v>
      </c>
      <c r="D32" s="41">
        <f t="shared" si="3"/>
        <v>0.84448707507496246</v>
      </c>
      <c r="E32" s="41">
        <f t="shared" si="4"/>
        <v>0</v>
      </c>
      <c r="F32" s="41">
        <f t="shared" si="2"/>
        <v>0</v>
      </c>
      <c r="G32" s="41">
        <f t="shared" si="5"/>
        <v>0.15551292492503754</v>
      </c>
      <c r="H32" s="23"/>
      <c r="I32" s="23"/>
      <c r="J32" s="23"/>
    </row>
    <row r="33" spans="1:10">
      <c r="A33" s="15">
        <f t="shared" si="0"/>
        <v>28</v>
      </c>
      <c r="B33" s="41">
        <v>0</v>
      </c>
      <c r="C33" s="41">
        <f t="shared" si="1"/>
        <v>1</v>
      </c>
      <c r="D33" s="41">
        <f t="shared" si="3"/>
        <v>0.84448707507496246</v>
      </c>
      <c r="E33" s="41">
        <f t="shared" si="4"/>
        <v>0</v>
      </c>
      <c r="F33" s="41">
        <f t="shared" si="2"/>
        <v>0</v>
      </c>
      <c r="G33" s="41">
        <f t="shared" si="5"/>
        <v>0.15551292492503754</v>
      </c>
      <c r="H33" s="23"/>
      <c r="I33" s="23"/>
      <c r="J33" s="23"/>
    </row>
    <row r="34" spans="1:10">
      <c r="A34" s="15">
        <f t="shared" si="0"/>
        <v>29</v>
      </c>
      <c r="B34" s="41">
        <v>0</v>
      </c>
      <c r="C34" s="41">
        <f t="shared" si="1"/>
        <v>1</v>
      </c>
      <c r="D34" s="41">
        <f t="shared" si="3"/>
        <v>0.84448707507496246</v>
      </c>
      <c r="E34" s="41">
        <f t="shared" si="4"/>
        <v>0</v>
      </c>
      <c r="F34" s="41">
        <f t="shared" si="2"/>
        <v>0</v>
      </c>
      <c r="G34" s="41">
        <f t="shared" si="5"/>
        <v>0.15551292492503754</v>
      </c>
      <c r="H34" s="23"/>
      <c r="I34" s="23"/>
      <c r="J34" s="23"/>
    </row>
    <row r="35" spans="1:10">
      <c r="A35" s="15">
        <f t="shared" si="0"/>
        <v>30</v>
      </c>
      <c r="B35" s="41">
        <v>0</v>
      </c>
      <c r="C35" s="41">
        <f t="shared" si="1"/>
        <v>1</v>
      </c>
      <c r="D35" s="41">
        <f t="shared" si="3"/>
        <v>0.84448707507496246</v>
      </c>
      <c r="E35" s="41">
        <f t="shared" si="4"/>
        <v>0</v>
      </c>
      <c r="F35" s="41">
        <f t="shared" si="2"/>
        <v>0</v>
      </c>
      <c r="G35" s="41">
        <f t="shared" si="5"/>
        <v>0.15551292492503754</v>
      </c>
      <c r="H35" s="23"/>
      <c r="I35" s="23"/>
      <c r="J35" s="23"/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3:F42"/>
  <sheetViews>
    <sheetView workbookViewId="0"/>
  </sheetViews>
  <sheetFormatPr defaultRowHeight="13.2"/>
  <sheetData>
    <row r="3" spans="2:2">
      <c r="B3" t="s">
        <v>0</v>
      </c>
    </row>
    <row r="4" spans="2:2">
      <c r="B4" t="s">
        <v>1</v>
      </c>
    </row>
    <row r="5" spans="2:2">
      <c r="B5" t="s">
        <v>2</v>
      </c>
    </row>
    <row r="6" spans="2:2">
      <c r="B6" t="s">
        <v>3</v>
      </c>
    </row>
    <row r="7" spans="2:2">
      <c r="B7" t="s">
        <v>4</v>
      </c>
    </row>
    <row r="8" spans="2:2">
      <c r="B8" t="s">
        <v>5</v>
      </c>
    </row>
    <row r="9" spans="2:2">
      <c r="B9" t="s">
        <v>6</v>
      </c>
    </row>
    <row r="10" spans="2:2">
      <c r="B10" t="s">
        <v>7</v>
      </c>
    </row>
    <row r="11" spans="2:2">
      <c r="B11" t="s">
        <v>8</v>
      </c>
    </row>
    <row r="12" spans="2:2">
      <c r="B12" t="s">
        <v>9</v>
      </c>
    </row>
    <row r="13" spans="2:2">
      <c r="B13" t="s">
        <v>10</v>
      </c>
    </row>
    <row r="14" spans="2:2">
      <c r="B14" t="s">
        <v>11</v>
      </c>
    </row>
    <row r="15" spans="2:2">
      <c r="B15" t="s">
        <v>12</v>
      </c>
    </row>
    <row r="16" spans="2:2">
      <c r="B16" t="s">
        <v>13</v>
      </c>
    </row>
    <row r="21" spans="1:6">
      <c r="B21" s="1" t="s">
        <v>14</v>
      </c>
      <c r="C21" s="1" t="s">
        <v>15</v>
      </c>
      <c r="D21" s="1" t="s">
        <v>16</v>
      </c>
      <c r="E21" s="1" t="s">
        <v>17</v>
      </c>
      <c r="F21" s="1" t="s">
        <v>18</v>
      </c>
    </row>
    <row r="22" spans="1:6">
      <c r="A22">
        <v>1990</v>
      </c>
      <c r="B22" s="2">
        <v>6.6000000000000003E-2</v>
      </c>
      <c r="C22" s="2"/>
      <c r="D22" s="2">
        <v>3.3000000000000002E-2</v>
      </c>
      <c r="E22" s="2">
        <v>1.6E-2</v>
      </c>
      <c r="F22" s="2">
        <v>2.5999999999999999E-2</v>
      </c>
    </row>
    <row r="23" spans="1:6">
      <c r="A23">
        <v>1991</v>
      </c>
      <c r="B23" s="2">
        <v>0.06</v>
      </c>
      <c r="C23" s="2"/>
      <c r="D23" s="2">
        <v>4.1000000000000002E-2</v>
      </c>
      <c r="E23" s="3">
        <v>3.5999999999999997E-2</v>
      </c>
      <c r="F23" s="2">
        <v>5.3999999999999999E-2</v>
      </c>
    </row>
    <row r="24" spans="1:6">
      <c r="A24">
        <v>1992</v>
      </c>
      <c r="B24" s="2">
        <v>0.05</v>
      </c>
      <c r="C24" s="2"/>
      <c r="D24" s="2">
        <v>7.0000000000000007E-2</v>
      </c>
      <c r="E24" s="2">
        <v>2.5999999999999999E-2</v>
      </c>
      <c r="F24" s="2">
        <v>6.9000000000000006E-2</v>
      </c>
    </row>
    <row r="25" spans="1:6">
      <c r="A25">
        <v>1993</v>
      </c>
      <c r="B25" s="2">
        <v>3.5000000000000003E-2</v>
      </c>
      <c r="C25" s="2"/>
      <c r="D25" s="2">
        <v>5.0999999999999997E-2</v>
      </c>
      <c r="E25" s="2">
        <v>1.9E-2</v>
      </c>
      <c r="F25" s="2">
        <v>0.04</v>
      </c>
    </row>
    <row r="26" spans="1:6">
      <c r="A26">
        <v>1994</v>
      </c>
      <c r="B26" s="2">
        <v>2.8000000000000001E-2</v>
      </c>
      <c r="C26" s="2"/>
      <c r="D26" s="2">
        <v>3.5999999999999997E-2</v>
      </c>
      <c r="E26" s="2">
        <v>0.01</v>
      </c>
      <c r="F26" s="2">
        <v>0.03</v>
      </c>
    </row>
    <row r="27" spans="1:6">
      <c r="A27">
        <v>1995</v>
      </c>
      <c r="B27" s="2">
        <v>0.02</v>
      </c>
      <c r="C27" s="2"/>
      <c r="D27" s="2">
        <v>2.4E-2</v>
      </c>
      <c r="E27" s="2">
        <v>8.0000000000000002E-3</v>
      </c>
      <c r="F27" s="2">
        <v>2.9000000000000001E-2</v>
      </c>
    </row>
    <row r="28" spans="1:6">
      <c r="A28">
        <v>1996</v>
      </c>
      <c r="B28" s="2">
        <v>1.6E-2</v>
      </c>
      <c r="C28" s="2"/>
      <c r="D28" s="2">
        <v>1.7999999999999999E-2</v>
      </c>
      <c r="E28" s="2">
        <v>7.0000000000000001E-3</v>
      </c>
      <c r="F28" s="2">
        <v>1.9599999999999999E-2</v>
      </c>
    </row>
    <row r="29" spans="1:6">
      <c r="A29">
        <v>1997</v>
      </c>
      <c r="B29" s="2">
        <v>1.2E-2</v>
      </c>
      <c r="C29" s="2">
        <v>4.0000000000000001E-3</v>
      </c>
      <c r="D29" s="2">
        <v>8.9999999999999993E-3</v>
      </c>
      <c r="E29" s="2">
        <v>3.7000000000000002E-3</v>
      </c>
      <c r="F29" s="2">
        <v>9.5999999999999992E-3</v>
      </c>
    </row>
    <row r="30" spans="1:6">
      <c r="A30">
        <v>1998</v>
      </c>
      <c r="B30" s="2">
        <v>8.9999999999999993E-3</v>
      </c>
      <c r="C30" s="2">
        <v>5.0000000000000001E-3</v>
      </c>
      <c r="D30" s="2">
        <v>5.0000000000000001E-3</v>
      </c>
      <c r="E30" s="2">
        <v>2.8999999999999998E-3</v>
      </c>
      <c r="F30" s="2">
        <v>3.7000000000000002E-3</v>
      </c>
    </row>
    <row r="31" spans="1:6">
      <c r="A31">
        <v>1999</v>
      </c>
      <c r="B31" s="2">
        <v>7.0000000000000001E-3</v>
      </c>
      <c r="C31" s="2">
        <v>5.0000000000000001E-3</v>
      </c>
      <c r="D31" s="2">
        <v>2.5000000000000001E-3</v>
      </c>
      <c r="E31" s="2">
        <v>1.1999999999999999E-3</v>
      </c>
      <c r="F31" s="2">
        <v>1.4E-3</v>
      </c>
    </row>
    <row r="32" spans="1:6">
      <c r="A32">
        <v>2000</v>
      </c>
      <c r="B32" s="2">
        <v>7.0000000000000001E-3</v>
      </c>
      <c r="C32" s="2">
        <v>8.0000000000000002E-3</v>
      </c>
      <c r="D32" s="2">
        <v>2.8E-3</v>
      </c>
      <c r="E32" s="2">
        <v>4.0000000000000002E-4</v>
      </c>
      <c r="F32" s="2">
        <v>4.0000000000000002E-4</v>
      </c>
    </row>
    <row r="33" spans="1:6">
      <c r="A33">
        <v>2001</v>
      </c>
      <c r="B33" s="2">
        <v>8.9999999999999993E-3</v>
      </c>
      <c r="C33" s="2">
        <v>1.26E-2</v>
      </c>
      <c r="D33" s="2">
        <v>1.1999999999999999E-3</v>
      </c>
      <c r="E33" s="2">
        <v>3.3E-3</v>
      </c>
      <c r="F33" s="2">
        <v>1.5E-3</v>
      </c>
    </row>
    <row r="34" spans="1:6">
      <c r="A34">
        <v>2002</v>
      </c>
      <c r="B34" s="2">
        <v>8.9999999999999993E-3</v>
      </c>
      <c r="C34" s="2">
        <v>1.47E-2</v>
      </c>
      <c r="D34" s="2">
        <v>2.8E-3</v>
      </c>
      <c r="E34" s="2">
        <v>1.2999999999999999E-3</v>
      </c>
      <c r="F34" s="2">
        <v>1.2999999999999999E-3</v>
      </c>
    </row>
    <row r="35" spans="1:6">
      <c r="A35">
        <v>2003</v>
      </c>
      <c r="B35" s="2">
        <v>8.0000000000000002E-3</v>
      </c>
      <c r="C35" s="2">
        <v>1.72E-2</v>
      </c>
      <c r="D35" s="2">
        <v>1.1999999999999999E-3</v>
      </c>
      <c r="E35" s="2">
        <v>1.2999999999999999E-3</v>
      </c>
      <c r="F35" s="2">
        <v>5.0000000000000001E-4</v>
      </c>
    </row>
    <row r="36" spans="1:6">
      <c r="A36">
        <v>2004</v>
      </c>
      <c r="B36" s="2">
        <v>6.0000000000000001E-3</v>
      </c>
      <c r="C36" s="2">
        <v>1.29E-2</v>
      </c>
      <c r="D36" s="2">
        <v>8.0000000000000004E-4</v>
      </c>
      <c r="E36" s="2">
        <v>1E-3</v>
      </c>
      <c r="F36" s="2">
        <v>5.9999999999999995E-4</v>
      </c>
    </row>
    <row r="37" spans="1:6">
      <c r="A37">
        <v>2005</v>
      </c>
      <c r="B37" s="2">
        <v>5.0000000000000001E-3</v>
      </c>
      <c r="C37" s="2">
        <v>8.3999999999999995E-3</v>
      </c>
      <c r="D37" s="2">
        <v>5.0000000000000001E-4</v>
      </c>
      <c r="E37" s="2">
        <v>2.7000000000000001E-3</v>
      </c>
      <c r="F37" s="2">
        <v>0</v>
      </c>
    </row>
    <row r="38" spans="1:6">
      <c r="A38">
        <v>2006</v>
      </c>
      <c r="B38" s="2">
        <v>6.0000000000000001E-3</v>
      </c>
      <c r="C38" s="2">
        <v>4.1000000000000003E-3</v>
      </c>
      <c r="D38" s="2">
        <v>2.0000000000000001E-4</v>
      </c>
      <c r="E38" s="2">
        <v>8.0000000000000004E-4</v>
      </c>
      <c r="F38" s="2">
        <v>5.0000000000000001E-4</v>
      </c>
    </row>
    <row r="39" spans="1:6">
      <c r="A39">
        <v>2007</v>
      </c>
      <c r="B39" s="2">
        <v>8.5000000000000006E-3</v>
      </c>
      <c r="C39" s="2">
        <v>3.8999999999999998E-3</v>
      </c>
      <c r="D39" s="2">
        <v>1E-4</v>
      </c>
      <c r="E39" s="2">
        <v>8.0000000000000004E-4</v>
      </c>
      <c r="F39" s="2">
        <v>2.0000000000000001E-4</v>
      </c>
    </row>
    <row r="40" spans="1:6">
      <c r="A40">
        <v>2008</v>
      </c>
      <c r="B40" s="2">
        <v>1.66E-2</v>
      </c>
      <c r="C40" s="2">
        <v>1.12E-2</v>
      </c>
      <c r="D40" s="2">
        <v>6.9999999999999999E-4</v>
      </c>
      <c r="E40" s="2">
        <v>3.0000000000000001E-3</v>
      </c>
      <c r="F40" s="2">
        <v>1E-4</v>
      </c>
    </row>
    <row r="41" spans="1:6">
      <c r="A41">
        <v>2009</v>
      </c>
      <c r="B41" s="2">
        <v>3.9399999999999998E-2</v>
      </c>
      <c r="C41" s="2">
        <v>5.7000000000000002E-2</v>
      </c>
      <c r="D41" s="2">
        <v>1.9E-3</v>
      </c>
      <c r="E41" s="2">
        <v>6.3E-3</v>
      </c>
      <c r="F41" s="2">
        <v>2E-3</v>
      </c>
    </row>
    <row r="42" spans="1:6">
      <c r="A42">
        <v>2010</v>
      </c>
      <c r="B42" s="2">
        <v>4.1799999999999997E-2</v>
      </c>
      <c r="C42" s="2">
        <v>8.9499999999999996E-2</v>
      </c>
      <c r="D42" s="2">
        <v>1.9E-3</v>
      </c>
      <c r="E42" s="2">
        <v>7.1000000000000004E-3</v>
      </c>
      <c r="F42" s="2">
        <v>2.5999999999999999E-3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59"/>
  <sheetViews>
    <sheetView workbookViewId="0"/>
  </sheetViews>
  <sheetFormatPr defaultColWidth="10.109375" defaultRowHeight="13.2"/>
  <cols>
    <col min="1" max="1" width="10.109375" style="7"/>
    <col min="2" max="2" width="10.109375" style="6"/>
    <col min="3" max="3" width="10.109375" style="9"/>
    <col min="4" max="249" width="10.109375" style="4"/>
    <col min="250" max="250" width="13.44140625" style="4" customWidth="1"/>
    <col min="251" max="505" width="10.109375" style="4"/>
    <col min="506" max="506" width="13.44140625" style="4" customWidth="1"/>
    <col min="507" max="761" width="10.109375" style="4"/>
    <col min="762" max="762" width="13.44140625" style="4" customWidth="1"/>
    <col min="763" max="1017" width="10.109375" style="4"/>
    <col min="1018" max="1018" width="13.44140625" style="4" customWidth="1"/>
    <col min="1019" max="1273" width="10.109375" style="4"/>
    <col min="1274" max="1274" width="13.44140625" style="4" customWidth="1"/>
    <col min="1275" max="1529" width="10.109375" style="4"/>
    <col min="1530" max="1530" width="13.44140625" style="4" customWidth="1"/>
    <col min="1531" max="1785" width="10.109375" style="4"/>
    <col min="1786" max="1786" width="13.44140625" style="4" customWidth="1"/>
    <col min="1787" max="2041" width="10.109375" style="4"/>
    <col min="2042" max="2042" width="13.44140625" style="4" customWidth="1"/>
    <col min="2043" max="2297" width="10.109375" style="4"/>
    <col min="2298" max="2298" width="13.44140625" style="4" customWidth="1"/>
    <col min="2299" max="2553" width="10.109375" style="4"/>
    <col min="2554" max="2554" width="13.44140625" style="4" customWidth="1"/>
    <col min="2555" max="2809" width="10.109375" style="4"/>
    <col min="2810" max="2810" width="13.44140625" style="4" customWidth="1"/>
    <col min="2811" max="3065" width="10.109375" style="4"/>
    <col min="3066" max="3066" width="13.44140625" style="4" customWidth="1"/>
    <col min="3067" max="3321" width="10.109375" style="4"/>
    <col min="3322" max="3322" width="13.44140625" style="4" customWidth="1"/>
    <col min="3323" max="3577" width="10.109375" style="4"/>
    <col min="3578" max="3578" width="13.44140625" style="4" customWidth="1"/>
    <col min="3579" max="3833" width="10.109375" style="4"/>
    <col min="3834" max="3834" width="13.44140625" style="4" customWidth="1"/>
    <col min="3835" max="4089" width="10.109375" style="4"/>
    <col min="4090" max="4090" width="13.44140625" style="4" customWidth="1"/>
    <col min="4091" max="4345" width="10.109375" style="4"/>
    <col min="4346" max="4346" width="13.44140625" style="4" customWidth="1"/>
    <col min="4347" max="4601" width="10.109375" style="4"/>
    <col min="4602" max="4602" width="13.44140625" style="4" customWidth="1"/>
    <col min="4603" max="4857" width="10.109375" style="4"/>
    <col min="4858" max="4858" width="13.44140625" style="4" customWidth="1"/>
    <col min="4859" max="5113" width="10.109375" style="4"/>
    <col min="5114" max="5114" width="13.44140625" style="4" customWidth="1"/>
    <col min="5115" max="5369" width="10.109375" style="4"/>
    <col min="5370" max="5370" width="13.44140625" style="4" customWidth="1"/>
    <col min="5371" max="5625" width="10.109375" style="4"/>
    <col min="5626" max="5626" width="13.44140625" style="4" customWidth="1"/>
    <col min="5627" max="5881" width="10.109375" style="4"/>
    <col min="5882" max="5882" width="13.44140625" style="4" customWidth="1"/>
    <col min="5883" max="6137" width="10.109375" style="4"/>
    <col min="6138" max="6138" width="13.44140625" style="4" customWidth="1"/>
    <col min="6139" max="6393" width="10.109375" style="4"/>
    <col min="6394" max="6394" width="13.44140625" style="4" customWidth="1"/>
    <col min="6395" max="6649" width="10.109375" style="4"/>
    <col min="6650" max="6650" width="13.44140625" style="4" customWidth="1"/>
    <col min="6651" max="6905" width="10.109375" style="4"/>
    <col min="6906" max="6906" width="13.44140625" style="4" customWidth="1"/>
    <col min="6907" max="7161" width="10.109375" style="4"/>
    <col min="7162" max="7162" width="13.44140625" style="4" customWidth="1"/>
    <col min="7163" max="7417" width="10.109375" style="4"/>
    <col min="7418" max="7418" width="13.44140625" style="4" customWidth="1"/>
    <col min="7419" max="7673" width="10.109375" style="4"/>
    <col min="7674" max="7674" width="13.44140625" style="4" customWidth="1"/>
    <col min="7675" max="7929" width="10.109375" style="4"/>
    <col min="7930" max="7930" width="13.44140625" style="4" customWidth="1"/>
    <col min="7931" max="8185" width="10.109375" style="4"/>
    <col min="8186" max="8186" width="13.44140625" style="4" customWidth="1"/>
    <col min="8187" max="8441" width="10.109375" style="4"/>
    <col min="8442" max="8442" width="13.44140625" style="4" customWidth="1"/>
    <col min="8443" max="8697" width="10.109375" style="4"/>
    <col min="8698" max="8698" width="13.44140625" style="4" customWidth="1"/>
    <col min="8699" max="8953" width="10.109375" style="4"/>
    <col min="8954" max="8954" width="13.44140625" style="4" customWidth="1"/>
    <col min="8955" max="9209" width="10.109375" style="4"/>
    <col min="9210" max="9210" width="13.44140625" style="4" customWidth="1"/>
    <col min="9211" max="9465" width="10.109375" style="4"/>
    <col min="9466" max="9466" width="13.44140625" style="4" customWidth="1"/>
    <col min="9467" max="9721" width="10.109375" style="4"/>
    <col min="9722" max="9722" width="13.44140625" style="4" customWidth="1"/>
    <col min="9723" max="9977" width="10.109375" style="4"/>
    <col min="9978" max="9978" width="13.44140625" style="4" customWidth="1"/>
    <col min="9979" max="10233" width="10.109375" style="4"/>
    <col min="10234" max="10234" width="13.44140625" style="4" customWidth="1"/>
    <col min="10235" max="10489" width="10.109375" style="4"/>
    <col min="10490" max="10490" width="13.44140625" style="4" customWidth="1"/>
    <col min="10491" max="10745" width="10.109375" style="4"/>
    <col min="10746" max="10746" width="13.44140625" style="4" customWidth="1"/>
    <col min="10747" max="11001" width="10.109375" style="4"/>
    <col min="11002" max="11002" width="13.44140625" style="4" customWidth="1"/>
    <col min="11003" max="11257" width="10.109375" style="4"/>
    <col min="11258" max="11258" width="13.44140625" style="4" customWidth="1"/>
    <col min="11259" max="11513" width="10.109375" style="4"/>
    <col min="11514" max="11514" width="13.44140625" style="4" customWidth="1"/>
    <col min="11515" max="11769" width="10.109375" style="4"/>
    <col min="11770" max="11770" width="13.44140625" style="4" customWidth="1"/>
    <col min="11771" max="12025" width="10.109375" style="4"/>
    <col min="12026" max="12026" width="13.44140625" style="4" customWidth="1"/>
    <col min="12027" max="12281" width="10.109375" style="4"/>
    <col min="12282" max="12282" width="13.44140625" style="4" customWidth="1"/>
    <col min="12283" max="12537" width="10.109375" style="4"/>
    <col min="12538" max="12538" width="13.44140625" style="4" customWidth="1"/>
    <col min="12539" max="12793" width="10.109375" style="4"/>
    <col min="12794" max="12794" width="13.44140625" style="4" customWidth="1"/>
    <col min="12795" max="13049" width="10.109375" style="4"/>
    <col min="13050" max="13050" width="13.44140625" style="4" customWidth="1"/>
    <col min="13051" max="13305" width="10.109375" style="4"/>
    <col min="13306" max="13306" width="13.44140625" style="4" customWidth="1"/>
    <col min="13307" max="13561" width="10.109375" style="4"/>
    <col min="13562" max="13562" width="13.44140625" style="4" customWidth="1"/>
    <col min="13563" max="13817" width="10.109375" style="4"/>
    <col min="13818" max="13818" width="13.44140625" style="4" customWidth="1"/>
    <col min="13819" max="14073" width="10.109375" style="4"/>
    <col min="14074" max="14074" width="13.44140625" style="4" customWidth="1"/>
    <col min="14075" max="14329" width="10.109375" style="4"/>
    <col min="14330" max="14330" width="13.44140625" style="4" customWidth="1"/>
    <col min="14331" max="14585" width="10.109375" style="4"/>
    <col min="14586" max="14586" width="13.44140625" style="4" customWidth="1"/>
    <col min="14587" max="14841" width="10.109375" style="4"/>
    <col min="14842" max="14842" width="13.44140625" style="4" customWidth="1"/>
    <col min="14843" max="15097" width="10.109375" style="4"/>
    <col min="15098" max="15098" width="13.44140625" style="4" customWidth="1"/>
    <col min="15099" max="15353" width="10.109375" style="4"/>
    <col min="15354" max="15354" width="13.44140625" style="4" customWidth="1"/>
    <col min="15355" max="15609" width="10.109375" style="4"/>
    <col min="15610" max="15610" width="13.44140625" style="4" customWidth="1"/>
    <col min="15611" max="15865" width="10.109375" style="4"/>
    <col min="15866" max="15866" width="13.44140625" style="4" customWidth="1"/>
    <col min="15867" max="16121" width="10.109375" style="4"/>
    <col min="16122" max="16122" width="13.44140625" style="4" customWidth="1"/>
    <col min="16123" max="16384" width="10.109375" style="4"/>
  </cols>
  <sheetData>
    <row r="1" spans="1:6">
      <c r="A1" s="7" t="s">
        <v>165</v>
      </c>
      <c r="C1" s="8">
        <v>7.2829278189394706E-2</v>
      </c>
      <c r="D1" s="9">
        <v>8.4595944577631789E-3</v>
      </c>
      <c r="E1" s="9"/>
    </row>
    <row r="2" spans="1:6">
      <c r="A2" s="7">
        <v>26298</v>
      </c>
      <c r="B2" s="6">
        <v>100</v>
      </c>
      <c r="D2" s="4" t="s">
        <v>19</v>
      </c>
    </row>
    <row r="3" spans="1:6">
      <c r="A3" s="7">
        <v>26664</v>
      </c>
      <c r="B3" s="6">
        <v>111.5486215904632</v>
      </c>
      <c r="C3" s="9">
        <v>0.11548621590463193</v>
      </c>
      <c r="D3" s="9">
        <v>3.357550823737121E-3</v>
      </c>
      <c r="E3" s="13">
        <v>1972</v>
      </c>
      <c r="F3" s="13">
        <v>33.57550823737121</v>
      </c>
    </row>
    <row r="4" spans="1:6">
      <c r="A4" s="7">
        <v>27029</v>
      </c>
      <c r="B4" s="6">
        <v>116.93773696593259</v>
      </c>
      <c r="C4" s="9">
        <v>4.8311806086271947E-2</v>
      </c>
      <c r="D4" s="9">
        <v>3.7245402305967623E-3</v>
      </c>
      <c r="E4" s="13">
        <v>1973</v>
      </c>
      <c r="F4" s="13">
        <v>37.245402305967623</v>
      </c>
    </row>
    <row r="5" spans="1:6">
      <c r="A5" s="7">
        <v>27394</v>
      </c>
      <c r="B5" s="6">
        <v>116.87788632307962</v>
      </c>
      <c r="C5" s="9">
        <v>-5.1181632555796774E-4</v>
      </c>
      <c r="D5" s="9">
        <v>4.8787063649421425E-3</v>
      </c>
      <c r="E5" s="13">
        <v>1974</v>
      </c>
      <c r="F5" s="13">
        <v>48.787063649421427</v>
      </c>
    </row>
    <row r="6" spans="1:6">
      <c r="A6" s="7">
        <v>27759</v>
      </c>
      <c r="B6" s="6">
        <v>131.17278028228134</v>
      </c>
      <c r="C6" s="9">
        <v>0.12230623267507656</v>
      </c>
      <c r="D6" s="9">
        <v>1.2729167935772612E-2</v>
      </c>
      <c r="E6" s="13">
        <v>1975</v>
      </c>
      <c r="F6" s="13">
        <v>127.29167935772611</v>
      </c>
    </row>
    <row r="7" spans="1:6">
      <c r="A7" s="7">
        <v>28125</v>
      </c>
      <c r="B7" s="6">
        <v>155.12553270312711</v>
      </c>
      <c r="C7" s="9">
        <v>0.18260459501811188</v>
      </c>
      <c r="D7" s="9">
        <v>1.6892578457041285E-2</v>
      </c>
      <c r="E7" s="13">
        <v>1976</v>
      </c>
      <c r="F7" s="13">
        <v>168.92578457041284</v>
      </c>
    </row>
    <row r="8" spans="1:6">
      <c r="A8" s="7">
        <v>28490</v>
      </c>
      <c r="B8" s="6">
        <v>169.94992057341025</v>
      </c>
      <c r="C8" s="9">
        <v>9.5563816039577754E-2</v>
      </c>
      <c r="D8" s="9">
        <v>1.1479288041163382E-2</v>
      </c>
      <c r="E8" s="13">
        <v>1977</v>
      </c>
      <c r="F8" s="13">
        <v>114.79288041163383</v>
      </c>
    </row>
    <row r="9" spans="1:6">
      <c r="A9" s="7">
        <v>28855</v>
      </c>
      <c r="B9" s="6">
        <v>175.83503736264839</v>
      </c>
      <c r="C9" s="9">
        <v>3.4628535096584923E-2</v>
      </c>
      <c r="D9" s="9">
        <v>5.9972973560167286E-3</v>
      </c>
      <c r="E9" s="13">
        <v>1978</v>
      </c>
      <c r="F9" s="13">
        <v>59.97297356016729</v>
      </c>
    </row>
    <row r="10" spans="1:6">
      <c r="A10" s="7">
        <v>29220</v>
      </c>
      <c r="B10" s="6">
        <v>188.95917194523841</v>
      </c>
      <c r="C10" s="9">
        <v>7.463890462014322E-2</v>
      </c>
      <c r="D10" s="9">
        <v>5.2295555586894249E-3</v>
      </c>
      <c r="E10" s="13">
        <v>1979</v>
      </c>
      <c r="F10" s="13">
        <v>52.295555586894253</v>
      </c>
    </row>
    <row r="11" spans="1:6">
      <c r="A11" s="7">
        <v>29586</v>
      </c>
      <c r="B11" s="6">
        <v>189.37378354011901</v>
      </c>
      <c r="C11" s="9">
        <v>2.1941861335037505E-3</v>
      </c>
      <c r="D11" s="9">
        <v>7.8880467817010747E-4</v>
      </c>
      <c r="E11" s="13">
        <v>1980</v>
      </c>
      <c r="F11" s="13">
        <v>7.8880467817010747</v>
      </c>
    </row>
    <row r="12" spans="1:6">
      <c r="A12" s="7">
        <v>29951</v>
      </c>
      <c r="B12" s="6">
        <v>193.48701546524907</v>
      </c>
      <c r="C12" s="9">
        <v>2.1720176088992238E-2</v>
      </c>
      <c r="D12" s="9">
        <v>1.7760696341186932E-3</v>
      </c>
      <c r="E12" s="13">
        <v>1981</v>
      </c>
      <c r="F12" s="13">
        <v>17.760696341186932</v>
      </c>
    </row>
    <row r="13" spans="1:6">
      <c r="A13" s="7">
        <v>30316</v>
      </c>
      <c r="B13" s="6">
        <v>252.57500261484699</v>
      </c>
      <c r="C13" s="9">
        <v>0.30538476707348017</v>
      </c>
      <c r="D13" s="9">
        <v>1.1988436950325809E-2</v>
      </c>
      <c r="E13" s="13">
        <v>1982</v>
      </c>
      <c r="F13" s="13">
        <v>119.88436950325809</v>
      </c>
    </row>
    <row r="14" spans="1:6">
      <c r="A14" s="7">
        <v>30681</v>
      </c>
      <c r="B14" s="6">
        <v>295.6367740708701</v>
      </c>
      <c r="C14" s="9">
        <v>0.17049102646823777</v>
      </c>
      <c r="D14" s="9">
        <v>7.2507387256997013E-3</v>
      </c>
      <c r="E14" s="13">
        <v>1983</v>
      </c>
      <c r="F14" s="13">
        <v>72.507387256997021</v>
      </c>
    </row>
    <row r="15" spans="1:6">
      <c r="A15" s="7">
        <v>31047</v>
      </c>
      <c r="B15" s="6">
        <v>336.53031029561009</v>
      </c>
      <c r="C15" s="9">
        <v>0.13832357748206592</v>
      </c>
      <c r="D15" s="9">
        <v>6.1833592322868558E-3</v>
      </c>
      <c r="E15" s="13">
        <v>1984</v>
      </c>
      <c r="F15" s="13">
        <v>61.833592322868554</v>
      </c>
    </row>
    <row r="16" spans="1:6">
      <c r="A16" s="7">
        <v>31412</v>
      </c>
      <c r="B16" s="6">
        <v>422.54728365490723</v>
      </c>
      <c r="C16" s="9">
        <v>0.25559948310076241</v>
      </c>
      <c r="D16" s="9">
        <v>9.4887775593841539E-3</v>
      </c>
      <c r="E16" s="13">
        <v>1985</v>
      </c>
      <c r="F16" s="13">
        <v>94.887775593841539</v>
      </c>
    </row>
    <row r="17" spans="1:6">
      <c r="A17" s="7">
        <v>31777</v>
      </c>
      <c r="B17" s="6">
        <v>521.73493953102991</v>
      </c>
      <c r="C17" s="9">
        <v>0.23473741214989996</v>
      </c>
      <c r="D17" s="9">
        <v>1.2863670632223156E-2</v>
      </c>
      <c r="E17" s="13">
        <v>1986</v>
      </c>
      <c r="F17" s="13">
        <v>128.63670632223156</v>
      </c>
    </row>
    <row r="18" spans="1:6">
      <c r="A18" s="7">
        <v>32142</v>
      </c>
      <c r="B18" s="6">
        <v>540.72242277401494</v>
      </c>
      <c r="C18" s="9">
        <v>3.6392968544625814E-2</v>
      </c>
      <c r="D18" s="9">
        <v>1.0097071174105743E-2</v>
      </c>
      <c r="E18" s="13">
        <v>1987</v>
      </c>
      <c r="F18" s="13">
        <v>100.97071174105743</v>
      </c>
    </row>
    <row r="19" spans="1:6">
      <c r="A19" s="7">
        <v>32508</v>
      </c>
      <c r="B19" s="6">
        <v>599.73185445890704</v>
      </c>
      <c r="C19" s="9">
        <v>0.10913072807700819</v>
      </c>
      <c r="D19" s="9">
        <v>1.4901880536670298E-2</v>
      </c>
      <c r="E19" s="13">
        <v>1988</v>
      </c>
      <c r="F19" s="13">
        <v>149.01880536670296</v>
      </c>
    </row>
    <row r="20" spans="1:6">
      <c r="A20" s="7">
        <v>32873</v>
      </c>
      <c r="B20" s="6">
        <v>693.74477766244718</v>
      </c>
      <c r="C20" s="9">
        <v>0.15675826205423249</v>
      </c>
      <c r="D20" s="9">
        <v>1.7281537879352715E-2</v>
      </c>
      <c r="E20" s="13">
        <v>1989</v>
      </c>
      <c r="F20" s="13">
        <v>172.81537879352715</v>
      </c>
    </row>
    <row r="21" spans="1:6">
      <c r="A21" s="7">
        <v>33238</v>
      </c>
      <c r="B21" s="6">
        <v>748.66103594104436</v>
      </c>
      <c r="C21" s="9">
        <v>7.9159166377635204E-2</v>
      </c>
      <c r="D21" s="9">
        <v>1.5208069075708819E-2</v>
      </c>
      <c r="E21" s="13">
        <v>1990</v>
      </c>
      <c r="F21" s="13">
        <v>152.08069075708818</v>
      </c>
    </row>
    <row r="22" spans="1:6">
      <c r="A22" s="7">
        <v>33603</v>
      </c>
      <c r="B22" s="6">
        <v>813.39606511367117</v>
      </c>
      <c r="C22" s="9">
        <v>8.6467741828258449E-2</v>
      </c>
      <c r="D22" s="9">
        <v>1.7614123685262939E-2</v>
      </c>
      <c r="E22" s="13">
        <v>1991</v>
      </c>
      <c r="F22" s="13">
        <v>176.14123685262939</v>
      </c>
    </row>
    <row r="23" spans="1:6">
      <c r="A23" s="7">
        <v>33969</v>
      </c>
      <c r="B23" s="6">
        <v>852.13656156192462</v>
      </c>
      <c r="C23" s="9">
        <v>4.762808441031674E-2</v>
      </c>
      <c r="D23" s="9">
        <v>2.220382157274492E-2</v>
      </c>
      <c r="E23" s="13">
        <v>1992</v>
      </c>
      <c r="F23" s="13">
        <v>222.0382157274492</v>
      </c>
    </row>
    <row r="24" spans="1:6">
      <c r="A24" s="7">
        <v>34334</v>
      </c>
      <c r="B24" s="6">
        <v>932.45880181181008</v>
      </c>
      <c r="C24" s="9">
        <v>9.4259821574441904E-2</v>
      </c>
      <c r="D24" s="9">
        <v>2.571303781855816E-2</v>
      </c>
      <c r="E24" s="13">
        <v>1993</v>
      </c>
      <c r="F24" s="13">
        <v>257.13037818558161</v>
      </c>
    </row>
    <row r="25" spans="1:6">
      <c r="A25" s="7">
        <v>34699</v>
      </c>
      <c r="B25" s="6">
        <v>1004.8505557800781</v>
      </c>
      <c r="C25" s="9">
        <v>7.7635337698145568E-2</v>
      </c>
      <c r="D25" s="9">
        <v>2.8991403612782518E-2</v>
      </c>
      <c r="E25" s="13">
        <v>1994</v>
      </c>
      <c r="F25" s="13">
        <v>289.91403612782517</v>
      </c>
    </row>
    <row r="26" spans="1:6">
      <c r="A26" s="7">
        <v>35064</v>
      </c>
      <c r="B26" s="6">
        <v>1191.68394877939</v>
      </c>
      <c r="C26" s="9">
        <v>0.1859315217816353</v>
      </c>
      <c r="D26" s="9">
        <v>1.3634625510194232E-2</v>
      </c>
      <c r="E26" s="13">
        <v>1995</v>
      </c>
      <c r="F26" s="13">
        <v>136.34625510194232</v>
      </c>
    </row>
    <row r="27" spans="1:6">
      <c r="A27" s="7">
        <v>35430</v>
      </c>
      <c r="B27" s="6">
        <v>1251.9977767136738</v>
      </c>
      <c r="C27" s="9">
        <v>5.0612268459319099E-2</v>
      </c>
      <c r="D27" s="9">
        <v>7.4395595990763841E-3</v>
      </c>
      <c r="E27" s="13">
        <v>1996</v>
      </c>
      <c r="F27" s="13">
        <v>74.395595990763837</v>
      </c>
    </row>
    <row r="28" spans="1:6">
      <c r="A28" s="7">
        <v>35795</v>
      </c>
      <c r="B28" s="6">
        <v>1412.0434509512775</v>
      </c>
      <c r="C28" s="9">
        <v>0.12783223517992348</v>
      </c>
      <c r="D28" s="9">
        <v>5.3304746928262148E-3</v>
      </c>
      <c r="E28" s="13">
        <v>1997</v>
      </c>
      <c r="F28" s="13">
        <v>53.304746928262148</v>
      </c>
    </row>
    <row r="29" spans="1:6">
      <c r="A29" s="7">
        <v>36160</v>
      </c>
      <c r="B29" s="6">
        <v>1517.8069702187172</v>
      </c>
      <c r="C29" s="9">
        <v>7.4901037355605604E-2</v>
      </c>
      <c r="D29" s="9">
        <v>2.4349669552692355E-3</v>
      </c>
      <c r="E29" s="13">
        <v>1998</v>
      </c>
      <c r="F29" s="13">
        <v>24.349669552692355</v>
      </c>
    </row>
    <row r="30" spans="1:6">
      <c r="A30" s="7">
        <v>36525</v>
      </c>
      <c r="B30" s="6">
        <v>1544.3860121836869</v>
      </c>
      <c r="C30" s="9">
        <v>1.7511477076126214E-2</v>
      </c>
      <c r="D30" s="9">
        <v>1.7225570601528961E-3</v>
      </c>
      <c r="E30" s="13">
        <v>1999</v>
      </c>
      <c r="F30" s="13">
        <v>17.225570601528961</v>
      </c>
    </row>
    <row r="31" spans="1:6">
      <c r="A31" s="7">
        <v>36891</v>
      </c>
      <c r="B31" s="6">
        <v>1770.9362385548684</v>
      </c>
      <c r="C31" s="9">
        <v>0.14669274688058742</v>
      </c>
      <c r="D31" s="9">
        <v>3.3079169643013273E-3</v>
      </c>
      <c r="E31" s="13">
        <v>2000</v>
      </c>
      <c r="F31" s="13">
        <v>33.079169643013273</v>
      </c>
    </row>
    <row r="32" spans="1:6">
      <c r="A32" s="7">
        <v>37256</v>
      </c>
      <c r="B32" s="6">
        <v>1933.4805772968891</v>
      </c>
      <c r="C32" s="9">
        <v>9.1784410530026284E-2</v>
      </c>
      <c r="D32" s="9">
        <v>3.423371748145998E-3</v>
      </c>
      <c r="E32" s="13">
        <v>2001</v>
      </c>
      <c r="F32" s="13">
        <v>34.233717481459976</v>
      </c>
    </row>
    <row r="33" spans="1:6">
      <c r="A33" s="7">
        <v>37621</v>
      </c>
      <c r="B33" s="6">
        <v>2238.7743725866749</v>
      </c>
      <c r="C33" s="9">
        <v>0.15789855811047415</v>
      </c>
      <c r="D33" s="9">
        <v>1.2974823903055821E-3</v>
      </c>
      <c r="E33" s="13">
        <v>2002</v>
      </c>
      <c r="F33" s="13">
        <v>12.974823903055821</v>
      </c>
    </row>
    <row r="34" spans="1:6">
      <c r="A34" s="7">
        <v>37986</v>
      </c>
      <c r="B34" s="6">
        <v>2360.7867901302538</v>
      </c>
      <c r="C34" s="9">
        <v>5.4499649021176655E-2</v>
      </c>
      <c r="D34" s="9">
        <v>2.5473063380576644E-3</v>
      </c>
      <c r="E34" s="13">
        <v>2003</v>
      </c>
      <c r="F34" s="13">
        <v>25.473063380576644</v>
      </c>
    </row>
    <row r="35" spans="1:6">
      <c r="A35" s="7">
        <v>38352</v>
      </c>
      <c r="B35" s="6">
        <v>2489.5565704129149</v>
      </c>
      <c r="C35" s="9">
        <v>5.4545281607389917E-2</v>
      </c>
      <c r="D35" s="9">
        <v>3.2444295970361914E-3</v>
      </c>
      <c r="E35" s="13">
        <v>2004</v>
      </c>
      <c r="F35" s="13">
        <v>32.444295970361914</v>
      </c>
    </row>
    <row r="36" spans="1:6">
      <c r="A36" s="7">
        <v>38717</v>
      </c>
      <c r="B36" s="6">
        <v>2582.8748631983822</v>
      </c>
      <c r="C36" s="9">
        <v>3.7483901307769685E-2</v>
      </c>
      <c r="D36" s="9">
        <v>2.1903657620949701E-3</v>
      </c>
      <c r="E36" s="13">
        <v>2005</v>
      </c>
      <c r="F36" s="13">
        <v>21.903657620949701</v>
      </c>
    </row>
    <row r="37" spans="1:6">
      <c r="A37" s="7">
        <v>39082</v>
      </c>
      <c r="B37" s="6">
        <v>2707.1836296244373</v>
      </c>
      <c r="C37" s="9">
        <v>4.8128063886193617E-2</v>
      </c>
      <c r="D37" s="9">
        <v>1.3508801901360723E-3</v>
      </c>
      <c r="E37" s="13">
        <v>2006</v>
      </c>
      <c r="F37" s="13">
        <v>13.508801901360723</v>
      </c>
    </row>
    <row r="38" spans="1:6">
      <c r="A38" s="7">
        <v>39447</v>
      </c>
      <c r="B38" s="6">
        <v>2861.7050755452551</v>
      </c>
      <c r="C38" s="9">
        <v>5.7078302420975557E-2</v>
      </c>
      <c r="D38" s="9">
        <v>9.8391041023049297E-4</v>
      </c>
      <c r="E38" s="13">
        <v>2007</v>
      </c>
      <c r="F38" s="13">
        <v>9.8391041023049297</v>
      </c>
    </row>
    <row r="39" spans="1:6">
      <c r="A39" s="7">
        <v>39813</v>
      </c>
      <c r="B39" s="6">
        <v>2747.946171881998</v>
      </c>
      <c r="C39" s="9">
        <v>-3.9752140999918417E-2</v>
      </c>
      <c r="D39" s="9">
        <v>7.7888368345935266E-4</v>
      </c>
      <c r="E39" s="13">
        <v>2008</v>
      </c>
      <c r="F39" s="13">
        <v>7.7888368345935266</v>
      </c>
    </row>
    <row r="40" spans="1:6">
      <c r="A40" s="7">
        <v>40178</v>
      </c>
      <c r="B40" s="6">
        <v>3164.0302285580538</v>
      </c>
      <c r="C40" s="9">
        <v>0.15141637814218556</v>
      </c>
      <c r="D40" s="9">
        <v>3.1313920531061967E-3</v>
      </c>
      <c r="E40" s="13">
        <v>2009</v>
      </c>
      <c r="F40" s="13">
        <v>31.313920531061967</v>
      </c>
    </row>
    <row r="41" spans="1:6">
      <c r="A41" s="7">
        <v>40543</v>
      </c>
      <c r="B41" s="6">
        <v>3519.1853413218837</v>
      </c>
      <c r="C41" s="9">
        <v>0.11224769901319331</v>
      </c>
      <c r="D41" s="9">
        <v>1.0466573363017151E-2</v>
      </c>
      <c r="E41" s="13">
        <v>2010</v>
      </c>
      <c r="F41" s="13">
        <v>104.6657336301715</v>
      </c>
    </row>
    <row r="136" spans="1:5">
      <c r="A136" s="10"/>
      <c r="B136" s="11"/>
      <c r="C136" s="12"/>
      <c r="D136" s="5"/>
      <c r="E136" s="5"/>
    </row>
    <row r="137" spans="1:5">
      <c r="A137" s="10"/>
      <c r="B137" s="11"/>
      <c r="C137" s="12"/>
      <c r="D137" s="5"/>
      <c r="E137" s="5"/>
    </row>
    <row r="138" spans="1:5">
      <c r="A138" s="10"/>
      <c r="B138" s="11"/>
      <c r="C138" s="12"/>
      <c r="D138" s="5"/>
      <c r="E138" s="5"/>
    </row>
    <row r="139" spans="1:5">
      <c r="A139" s="10"/>
      <c r="B139" s="11"/>
      <c r="C139" s="12"/>
      <c r="D139" s="5"/>
      <c r="E139" s="5"/>
    </row>
    <row r="140" spans="1:5">
      <c r="A140" s="10"/>
      <c r="B140" s="11"/>
      <c r="C140" s="12"/>
      <c r="D140" s="5"/>
      <c r="E140" s="5"/>
    </row>
    <row r="141" spans="1:5">
      <c r="A141" s="10"/>
      <c r="B141" s="11"/>
      <c r="C141" s="12"/>
      <c r="D141" s="5"/>
      <c r="E141" s="5"/>
    </row>
    <row r="142" spans="1:5">
      <c r="A142" s="10"/>
      <c r="B142" s="11"/>
      <c r="C142" s="12"/>
      <c r="D142" s="5"/>
      <c r="E142" s="5"/>
    </row>
    <row r="143" spans="1:5">
      <c r="A143" s="10"/>
      <c r="B143" s="11"/>
      <c r="C143" s="12"/>
      <c r="D143" s="5"/>
      <c r="E143" s="5"/>
    </row>
    <row r="144" spans="1:5">
      <c r="A144" s="10"/>
      <c r="B144" s="11"/>
      <c r="C144" s="12"/>
      <c r="D144" s="5"/>
      <c r="E144" s="5"/>
    </row>
    <row r="145" spans="1:5">
      <c r="A145" s="10"/>
      <c r="B145" s="11"/>
      <c r="C145" s="12"/>
      <c r="D145" s="5"/>
      <c r="E145" s="5"/>
    </row>
    <row r="146" spans="1:5">
      <c r="A146" s="10"/>
      <c r="B146" s="11"/>
      <c r="C146" s="12"/>
      <c r="D146" s="5"/>
      <c r="E146" s="5"/>
    </row>
    <row r="147" spans="1:5">
      <c r="A147" s="10"/>
      <c r="B147" s="11"/>
      <c r="C147" s="12"/>
      <c r="D147" s="5"/>
      <c r="E147" s="5"/>
    </row>
    <row r="148" spans="1:5">
      <c r="A148" s="10"/>
      <c r="B148" s="11"/>
      <c r="C148" s="12"/>
      <c r="D148" s="5"/>
      <c r="E148" s="5"/>
    </row>
    <row r="149" spans="1:5">
      <c r="A149" s="10"/>
      <c r="B149" s="11"/>
      <c r="C149" s="12"/>
      <c r="D149" s="5"/>
      <c r="E149" s="5"/>
    </row>
    <row r="150" spans="1:5">
      <c r="A150" s="10"/>
      <c r="B150" s="11"/>
      <c r="C150" s="12"/>
      <c r="D150" s="5"/>
      <c r="E150" s="5"/>
    </row>
    <row r="151" spans="1:5">
      <c r="A151" s="10"/>
      <c r="B151" s="11"/>
      <c r="C151" s="12"/>
      <c r="D151" s="5"/>
      <c r="E151" s="5"/>
    </row>
    <row r="152" spans="1:5">
      <c r="A152" s="10"/>
      <c r="B152" s="11"/>
      <c r="C152" s="12"/>
      <c r="D152" s="5"/>
      <c r="E152" s="5"/>
    </row>
    <row r="153" spans="1:5">
      <c r="A153" s="10"/>
      <c r="B153" s="11"/>
      <c r="C153" s="12"/>
      <c r="D153" s="5"/>
      <c r="E153" s="5"/>
    </row>
    <row r="154" spans="1:5">
      <c r="A154" s="10"/>
      <c r="B154" s="11"/>
      <c r="C154" s="12"/>
      <c r="D154" s="5"/>
      <c r="E154" s="5"/>
    </row>
    <row r="155" spans="1:5">
      <c r="A155" s="10"/>
      <c r="B155" s="11"/>
      <c r="C155" s="12"/>
      <c r="D155" s="5"/>
      <c r="E155" s="5"/>
    </row>
    <row r="156" spans="1:5">
      <c r="A156" s="10"/>
      <c r="B156" s="11"/>
      <c r="C156" s="12"/>
      <c r="D156" s="5"/>
      <c r="E156" s="5"/>
    </row>
    <row r="157" spans="1:5">
      <c r="A157" s="10"/>
      <c r="B157" s="11"/>
      <c r="C157" s="12"/>
      <c r="D157" s="5"/>
      <c r="E157" s="5"/>
    </row>
    <row r="158" spans="1:5">
      <c r="A158" s="10"/>
      <c r="B158" s="11"/>
      <c r="C158" s="12"/>
      <c r="D158" s="5"/>
      <c r="E158" s="5"/>
    </row>
    <row r="159" spans="1:5">
      <c r="A159" s="10"/>
      <c r="B159" s="11"/>
      <c r="C159" s="12"/>
      <c r="D159" s="5"/>
      <c r="E159" s="5"/>
    </row>
  </sheetData>
  <pageMargins left="0.75" right="0.75" top="1" bottom="1" header="0.5" footer="0.5"/>
  <pageSetup orientation="portrait" horizontalDpi="300" verticalDpi="300" copies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T37"/>
  <sheetViews>
    <sheetView workbookViewId="0"/>
  </sheetViews>
  <sheetFormatPr defaultRowHeight="13.2"/>
  <cols>
    <col min="1" max="1" width="18.109375" style="15" customWidth="1"/>
    <col min="2" max="7" width="8.88671875" style="15"/>
    <col min="8" max="8" width="10" style="15" customWidth="1"/>
    <col min="9" max="11" width="8.88671875" style="15"/>
    <col min="12" max="12" width="14.5546875" style="15" customWidth="1"/>
    <col min="13" max="71" width="8.88671875" style="15"/>
    <col min="72" max="72" width="10.109375" style="23" customWidth="1"/>
    <col min="73" max="256" width="8.88671875" style="15"/>
    <col min="257" max="257" width="18.109375" style="15" customWidth="1"/>
    <col min="258" max="263" width="8.88671875" style="15"/>
    <col min="264" max="264" width="10" style="15" customWidth="1"/>
    <col min="265" max="267" width="8.88671875" style="15"/>
    <col min="268" max="268" width="14.5546875" style="15" customWidth="1"/>
    <col min="269" max="327" width="8.88671875" style="15"/>
    <col min="328" max="328" width="10.109375" style="15" customWidth="1"/>
    <col min="329" max="512" width="8.88671875" style="15"/>
    <col min="513" max="513" width="18.109375" style="15" customWidth="1"/>
    <col min="514" max="519" width="8.88671875" style="15"/>
    <col min="520" max="520" width="10" style="15" customWidth="1"/>
    <col min="521" max="523" width="8.88671875" style="15"/>
    <col min="524" max="524" width="14.5546875" style="15" customWidth="1"/>
    <col min="525" max="583" width="8.88671875" style="15"/>
    <col min="584" max="584" width="10.109375" style="15" customWidth="1"/>
    <col min="585" max="768" width="8.88671875" style="15"/>
    <col min="769" max="769" width="18.109375" style="15" customWidth="1"/>
    <col min="770" max="775" width="8.88671875" style="15"/>
    <col min="776" max="776" width="10" style="15" customWidth="1"/>
    <col min="777" max="779" width="8.88671875" style="15"/>
    <col min="780" max="780" width="14.5546875" style="15" customWidth="1"/>
    <col min="781" max="839" width="8.88671875" style="15"/>
    <col min="840" max="840" width="10.109375" style="15" customWidth="1"/>
    <col min="841" max="1024" width="8.88671875" style="15"/>
    <col min="1025" max="1025" width="18.109375" style="15" customWidth="1"/>
    <col min="1026" max="1031" width="8.88671875" style="15"/>
    <col min="1032" max="1032" width="10" style="15" customWidth="1"/>
    <col min="1033" max="1035" width="8.88671875" style="15"/>
    <col min="1036" max="1036" width="14.5546875" style="15" customWidth="1"/>
    <col min="1037" max="1095" width="8.88671875" style="15"/>
    <col min="1096" max="1096" width="10.109375" style="15" customWidth="1"/>
    <col min="1097" max="1280" width="8.88671875" style="15"/>
    <col min="1281" max="1281" width="18.109375" style="15" customWidth="1"/>
    <col min="1282" max="1287" width="8.88671875" style="15"/>
    <col min="1288" max="1288" width="10" style="15" customWidth="1"/>
    <col min="1289" max="1291" width="8.88671875" style="15"/>
    <col min="1292" max="1292" width="14.5546875" style="15" customWidth="1"/>
    <col min="1293" max="1351" width="8.88671875" style="15"/>
    <col min="1352" max="1352" width="10.109375" style="15" customWidth="1"/>
    <col min="1353" max="1536" width="8.88671875" style="15"/>
    <col min="1537" max="1537" width="18.109375" style="15" customWidth="1"/>
    <col min="1538" max="1543" width="8.88671875" style="15"/>
    <col min="1544" max="1544" width="10" style="15" customWidth="1"/>
    <col min="1545" max="1547" width="8.88671875" style="15"/>
    <col min="1548" max="1548" width="14.5546875" style="15" customWidth="1"/>
    <col min="1549" max="1607" width="8.88671875" style="15"/>
    <col min="1608" max="1608" width="10.109375" style="15" customWidth="1"/>
    <col min="1609" max="1792" width="8.88671875" style="15"/>
    <col min="1793" max="1793" width="18.109375" style="15" customWidth="1"/>
    <col min="1794" max="1799" width="8.88671875" style="15"/>
    <col min="1800" max="1800" width="10" style="15" customWidth="1"/>
    <col min="1801" max="1803" width="8.88671875" style="15"/>
    <col min="1804" max="1804" width="14.5546875" style="15" customWidth="1"/>
    <col min="1805" max="1863" width="8.88671875" style="15"/>
    <col min="1864" max="1864" width="10.109375" style="15" customWidth="1"/>
    <col min="1865" max="2048" width="8.88671875" style="15"/>
    <col min="2049" max="2049" width="18.109375" style="15" customWidth="1"/>
    <col min="2050" max="2055" width="8.88671875" style="15"/>
    <col min="2056" max="2056" width="10" style="15" customWidth="1"/>
    <col min="2057" max="2059" width="8.88671875" style="15"/>
    <col min="2060" max="2060" width="14.5546875" style="15" customWidth="1"/>
    <col min="2061" max="2119" width="8.88671875" style="15"/>
    <col min="2120" max="2120" width="10.109375" style="15" customWidth="1"/>
    <col min="2121" max="2304" width="8.88671875" style="15"/>
    <col min="2305" max="2305" width="18.109375" style="15" customWidth="1"/>
    <col min="2306" max="2311" width="8.88671875" style="15"/>
    <col min="2312" max="2312" width="10" style="15" customWidth="1"/>
    <col min="2313" max="2315" width="8.88671875" style="15"/>
    <col min="2316" max="2316" width="14.5546875" style="15" customWidth="1"/>
    <col min="2317" max="2375" width="8.88671875" style="15"/>
    <col min="2376" max="2376" width="10.109375" style="15" customWidth="1"/>
    <col min="2377" max="2560" width="8.88671875" style="15"/>
    <col min="2561" max="2561" width="18.109375" style="15" customWidth="1"/>
    <col min="2562" max="2567" width="8.88671875" style="15"/>
    <col min="2568" max="2568" width="10" style="15" customWidth="1"/>
    <col min="2569" max="2571" width="8.88671875" style="15"/>
    <col min="2572" max="2572" width="14.5546875" style="15" customWidth="1"/>
    <col min="2573" max="2631" width="8.88671875" style="15"/>
    <col min="2632" max="2632" width="10.109375" style="15" customWidth="1"/>
    <col min="2633" max="2816" width="8.88671875" style="15"/>
    <col min="2817" max="2817" width="18.109375" style="15" customWidth="1"/>
    <col min="2818" max="2823" width="8.88671875" style="15"/>
    <col min="2824" max="2824" width="10" style="15" customWidth="1"/>
    <col min="2825" max="2827" width="8.88671875" style="15"/>
    <col min="2828" max="2828" width="14.5546875" style="15" customWidth="1"/>
    <col min="2829" max="2887" width="8.88671875" style="15"/>
    <col min="2888" max="2888" width="10.109375" style="15" customWidth="1"/>
    <col min="2889" max="3072" width="8.88671875" style="15"/>
    <col min="3073" max="3073" width="18.109375" style="15" customWidth="1"/>
    <col min="3074" max="3079" width="8.88671875" style="15"/>
    <col min="3080" max="3080" width="10" style="15" customWidth="1"/>
    <col min="3081" max="3083" width="8.88671875" style="15"/>
    <col min="3084" max="3084" width="14.5546875" style="15" customWidth="1"/>
    <col min="3085" max="3143" width="8.88671875" style="15"/>
    <col min="3144" max="3144" width="10.109375" style="15" customWidth="1"/>
    <col min="3145" max="3328" width="8.88671875" style="15"/>
    <col min="3329" max="3329" width="18.109375" style="15" customWidth="1"/>
    <col min="3330" max="3335" width="8.88671875" style="15"/>
    <col min="3336" max="3336" width="10" style="15" customWidth="1"/>
    <col min="3337" max="3339" width="8.88671875" style="15"/>
    <col min="3340" max="3340" width="14.5546875" style="15" customWidth="1"/>
    <col min="3341" max="3399" width="8.88671875" style="15"/>
    <col min="3400" max="3400" width="10.109375" style="15" customWidth="1"/>
    <col min="3401" max="3584" width="8.88671875" style="15"/>
    <col min="3585" max="3585" width="18.109375" style="15" customWidth="1"/>
    <col min="3586" max="3591" width="8.88671875" style="15"/>
    <col min="3592" max="3592" width="10" style="15" customWidth="1"/>
    <col min="3593" max="3595" width="8.88671875" style="15"/>
    <col min="3596" max="3596" width="14.5546875" style="15" customWidth="1"/>
    <col min="3597" max="3655" width="8.88671875" style="15"/>
    <col min="3656" max="3656" width="10.109375" style="15" customWidth="1"/>
    <col min="3657" max="3840" width="8.88671875" style="15"/>
    <col min="3841" max="3841" width="18.109375" style="15" customWidth="1"/>
    <col min="3842" max="3847" width="8.88671875" style="15"/>
    <col min="3848" max="3848" width="10" style="15" customWidth="1"/>
    <col min="3849" max="3851" width="8.88671875" style="15"/>
    <col min="3852" max="3852" width="14.5546875" style="15" customWidth="1"/>
    <col min="3853" max="3911" width="8.88671875" style="15"/>
    <col min="3912" max="3912" width="10.109375" style="15" customWidth="1"/>
    <col min="3913" max="4096" width="8.88671875" style="15"/>
    <col min="4097" max="4097" width="18.109375" style="15" customWidth="1"/>
    <col min="4098" max="4103" width="8.88671875" style="15"/>
    <col min="4104" max="4104" width="10" style="15" customWidth="1"/>
    <col min="4105" max="4107" width="8.88671875" style="15"/>
    <col min="4108" max="4108" width="14.5546875" style="15" customWidth="1"/>
    <col min="4109" max="4167" width="8.88671875" style="15"/>
    <col min="4168" max="4168" width="10.109375" style="15" customWidth="1"/>
    <col min="4169" max="4352" width="8.88671875" style="15"/>
    <col min="4353" max="4353" width="18.109375" style="15" customWidth="1"/>
    <col min="4354" max="4359" width="8.88671875" style="15"/>
    <col min="4360" max="4360" width="10" style="15" customWidth="1"/>
    <col min="4361" max="4363" width="8.88671875" style="15"/>
    <col min="4364" max="4364" width="14.5546875" style="15" customWidth="1"/>
    <col min="4365" max="4423" width="8.88671875" style="15"/>
    <col min="4424" max="4424" width="10.109375" style="15" customWidth="1"/>
    <col min="4425" max="4608" width="8.88671875" style="15"/>
    <col min="4609" max="4609" width="18.109375" style="15" customWidth="1"/>
    <col min="4610" max="4615" width="8.88671875" style="15"/>
    <col min="4616" max="4616" width="10" style="15" customWidth="1"/>
    <col min="4617" max="4619" width="8.88671875" style="15"/>
    <col min="4620" max="4620" width="14.5546875" style="15" customWidth="1"/>
    <col min="4621" max="4679" width="8.88671875" style="15"/>
    <col min="4680" max="4680" width="10.109375" style="15" customWidth="1"/>
    <col min="4681" max="4864" width="8.88671875" style="15"/>
    <col min="4865" max="4865" width="18.109375" style="15" customWidth="1"/>
    <col min="4866" max="4871" width="8.88671875" style="15"/>
    <col min="4872" max="4872" width="10" style="15" customWidth="1"/>
    <col min="4873" max="4875" width="8.88671875" style="15"/>
    <col min="4876" max="4876" width="14.5546875" style="15" customWidth="1"/>
    <col min="4877" max="4935" width="8.88671875" style="15"/>
    <col min="4936" max="4936" width="10.109375" style="15" customWidth="1"/>
    <col min="4937" max="5120" width="8.88671875" style="15"/>
    <col min="5121" max="5121" width="18.109375" style="15" customWidth="1"/>
    <col min="5122" max="5127" width="8.88671875" style="15"/>
    <col min="5128" max="5128" width="10" style="15" customWidth="1"/>
    <col min="5129" max="5131" width="8.88671875" style="15"/>
    <col min="5132" max="5132" width="14.5546875" style="15" customWidth="1"/>
    <col min="5133" max="5191" width="8.88671875" style="15"/>
    <col min="5192" max="5192" width="10.109375" style="15" customWidth="1"/>
    <col min="5193" max="5376" width="8.88671875" style="15"/>
    <col min="5377" max="5377" width="18.109375" style="15" customWidth="1"/>
    <col min="5378" max="5383" width="8.88671875" style="15"/>
    <col min="5384" max="5384" width="10" style="15" customWidth="1"/>
    <col min="5385" max="5387" width="8.88671875" style="15"/>
    <col min="5388" max="5388" width="14.5546875" style="15" customWidth="1"/>
    <col min="5389" max="5447" width="8.88671875" style="15"/>
    <col min="5448" max="5448" width="10.109375" style="15" customWidth="1"/>
    <col min="5449" max="5632" width="8.88671875" style="15"/>
    <col min="5633" max="5633" width="18.109375" style="15" customWidth="1"/>
    <col min="5634" max="5639" width="8.88671875" style="15"/>
    <col min="5640" max="5640" width="10" style="15" customWidth="1"/>
    <col min="5641" max="5643" width="8.88671875" style="15"/>
    <col min="5644" max="5644" width="14.5546875" style="15" customWidth="1"/>
    <col min="5645" max="5703" width="8.88671875" style="15"/>
    <col min="5704" max="5704" width="10.109375" style="15" customWidth="1"/>
    <col min="5705" max="5888" width="8.88671875" style="15"/>
    <col min="5889" max="5889" width="18.109375" style="15" customWidth="1"/>
    <col min="5890" max="5895" width="8.88671875" style="15"/>
    <col min="5896" max="5896" width="10" style="15" customWidth="1"/>
    <col min="5897" max="5899" width="8.88671875" style="15"/>
    <col min="5900" max="5900" width="14.5546875" style="15" customWidth="1"/>
    <col min="5901" max="5959" width="8.88671875" style="15"/>
    <col min="5960" max="5960" width="10.109375" style="15" customWidth="1"/>
    <col min="5961" max="6144" width="8.88671875" style="15"/>
    <col min="6145" max="6145" width="18.109375" style="15" customWidth="1"/>
    <col min="6146" max="6151" width="8.88671875" style="15"/>
    <col min="6152" max="6152" width="10" style="15" customWidth="1"/>
    <col min="6153" max="6155" width="8.88671875" style="15"/>
    <col min="6156" max="6156" width="14.5546875" style="15" customWidth="1"/>
    <col min="6157" max="6215" width="8.88671875" style="15"/>
    <col min="6216" max="6216" width="10.109375" style="15" customWidth="1"/>
    <col min="6217" max="6400" width="8.88671875" style="15"/>
    <col min="6401" max="6401" width="18.109375" style="15" customWidth="1"/>
    <col min="6402" max="6407" width="8.88671875" style="15"/>
    <col min="6408" max="6408" width="10" style="15" customWidth="1"/>
    <col min="6409" max="6411" width="8.88671875" style="15"/>
    <col min="6412" max="6412" width="14.5546875" style="15" customWidth="1"/>
    <col min="6413" max="6471" width="8.88671875" style="15"/>
    <col min="6472" max="6472" width="10.109375" style="15" customWidth="1"/>
    <col min="6473" max="6656" width="8.88671875" style="15"/>
    <col min="6657" max="6657" width="18.109375" style="15" customWidth="1"/>
    <col min="6658" max="6663" width="8.88671875" style="15"/>
    <col min="6664" max="6664" width="10" style="15" customWidth="1"/>
    <col min="6665" max="6667" width="8.88671875" style="15"/>
    <col min="6668" max="6668" width="14.5546875" style="15" customWidth="1"/>
    <col min="6669" max="6727" width="8.88671875" style="15"/>
    <col min="6728" max="6728" width="10.109375" style="15" customWidth="1"/>
    <col min="6729" max="6912" width="8.88671875" style="15"/>
    <col min="6913" max="6913" width="18.109375" style="15" customWidth="1"/>
    <col min="6914" max="6919" width="8.88671875" style="15"/>
    <col min="6920" max="6920" width="10" style="15" customWidth="1"/>
    <col min="6921" max="6923" width="8.88671875" style="15"/>
    <col min="6924" max="6924" width="14.5546875" style="15" customWidth="1"/>
    <col min="6925" max="6983" width="8.88671875" style="15"/>
    <col min="6984" max="6984" width="10.109375" style="15" customWidth="1"/>
    <col min="6985" max="7168" width="8.88671875" style="15"/>
    <col min="7169" max="7169" width="18.109375" style="15" customWidth="1"/>
    <col min="7170" max="7175" width="8.88671875" style="15"/>
    <col min="7176" max="7176" width="10" style="15" customWidth="1"/>
    <col min="7177" max="7179" width="8.88671875" style="15"/>
    <col min="7180" max="7180" width="14.5546875" style="15" customWidth="1"/>
    <col min="7181" max="7239" width="8.88671875" style="15"/>
    <col min="7240" max="7240" width="10.109375" style="15" customWidth="1"/>
    <col min="7241" max="7424" width="8.88671875" style="15"/>
    <col min="7425" max="7425" width="18.109375" style="15" customWidth="1"/>
    <col min="7426" max="7431" width="8.88671875" style="15"/>
    <col min="7432" max="7432" width="10" style="15" customWidth="1"/>
    <col min="7433" max="7435" width="8.88671875" style="15"/>
    <col min="7436" max="7436" width="14.5546875" style="15" customWidth="1"/>
    <col min="7437" max="7495" width="8.88671875" style="15"/>
    <col min="7496" max="7496" width="10.109375" style="15" customWidth="1"/>
    <col min="7497" max="7680" width="8.88671875" style="15"/>
    <col min="7681" max="7681" width="18.109375" style="15" customWidth="1"/>
    <col min="7682" max="7687" width="8.88671875" style="15"/>
    <col min="7688" max="7688" width="10" style="15" customWidth="1"/>
    <col min="7689" max="7691" width="8.88671875" style="15"/>
    <col min="7692" max="7692" width="14.5546875" style="15" customWidth="1"/>
    <col min="7693" max="7751" width="8.88671875" style="15"/>
    <col min="7752" max="7752" width="10.109375" style="15" customWidth="1"/>
    <col min="7753" max="7936" width="8.88671875" style="15"/>
    <col min="7937" max="7937" width="18.109375" style="15" customWidth="1"/>
    <col min="7938" max="7943" width="8.88671875" style="15"/>
    <col min="7944" max="7944" width="10" style="15" customWidth="1"/>
    <col min="7945" max="7947" width="8.88671875" style="15"/>
    <col min="7948" max="7948" width="14.5546875" style="15" customWidth="1"/>
    <col min="7949" max="8007" width="8.88671875" style="15"/>
    <col min="8008" max="8008" width="10.109375" style="15" customWidth="1"/>
    <col min="8009" max="8192" width="8.88671875" style="15"/>
    <col min="8193" max="8193" width="18.109375" style="15" customWidth="1"/>
    <col min="8194" max="8199" width="8.88671875" style="15"/>
    <col min="8200" max="8200" width="10" style="15" customWidth="1"/>
    <col min="8201" max="8203" width="8.88671875" style="15"/>
    <col min="8204" max="8204" width="14.5546875" style="15" customWidth="1"/>
    <col min="8205" max="8263" width="8.88671875" style="15"/>
    <col min="8264" max="8264" width="10.109375" style="15" customWidth="1"/>
    <col min="8265" max="8448" width="8.88671875" style="15"/>
    <col min="8449" max="8449" width="18.109375" style="15" customWidth="1"/>
    <col min="8450" max="8455" width="8.88671875" style="15"/>
    <col min="8456" max="8456" width="10" style="15" customWidth="1"/>
    <col min="8457" max="8459" width="8.88671875" style="15"/>
    <col min="8460" max="8460" width="14.5546875" style="15" customWidth="1"/>
    <col min="8461" max="8519" width="8.88671875" style="15"/>
    <col min="8520" max="8520" width="10.109375" style="15" customWidth="1"/>
    <col min="8521" max="8704" width="8.88671875" style="15"/>
    <col min="8705" max="8705" width="18.109375" style="15" customWidth="1"/>
    <col min="8706" max="8711" width="8.88671875" style="15"/>
    <col min="8712" max="8712" width="10" style="15" customWidth="1"/>
    <col min="8713" max="8715" width="8.88671875" style="15"/>
    <col min="8716" max="8716" width="14.5546875" style="15" customWidth="1"/>
    <col min="8717" max="8775" width="8.88671875" style="15"/>
    <col min="8776" max="8776" width="10.109375" style="15" customWidth="1"/>
    <col min="8777" max="8960" width="8.88671875" style="15"/>
    <col min="8961" max="8961" width="18.109375" style="15" customWidth="1"/>
    <col min="8962" max="8967" width="8.88671875" style="15"/>
    <col min="8968" max="8968" width="10" style="15" customWidth="1"/>
    <col min="8969" max="8971" width="8.88671875" style="15"/>
    <col min="8972" max="8972" width="14.5546875" style="15" customWidth="1"/>
    <col min="8973" max="9031" width="8.88671875" style="15"/>
    <col min="9032" max="9032" width="10.109375" style="15" customWidth="1"/>
    <col min="9033" max="9216" width="8.88671875" style="15"/>
    <col min="9217" max="9217" width="18.109375" style="15" customWidth="1"/>
    <col min="9218" max="9223" width="8.88671875" style="15"/>
    <col min="9224" max="9224" width="10" style="15" customWidth="1"/>
    <col min="9225" max="9227" width="8.88671875" style="15"/>
    <col min="9228" max="9228" width="14.5546875" style="15" customWidth="1"/>
    <col min="9229" max="9287" width="8.88671875" style="15"/>
    <col min="9288" max="9288" width="10.109375" style="15" customWidth="1"/>
    <col min="9289" max="9472" width="8.88671875" style="15"/>
    <col min="9473" max="9473" width="18.109375" style="15" customWidth="1"/>
    <col min="9474" max="9479" width="8.88671875" style="15"/>
    <col min="9480" max="9480" width="10" style="15" customWidth="1"/>
    <col min="9481" max="9483" width="8.88671875" style="15"/>
    <col min="9484" max="9484" width="14.5546875" style="15" customWidth="1"/>
    <col min="9485" max="9543" width="8.88671875" style="15"/>
    <col min="9544" max="9544" width="10.109375" style="15" customWidth="1"/>
    <col min="9545" max="9728" width="8.88671875" style="15"/>
    <col min="9729" max="9729" width="18.109375" style="15" customWidth="1"/>
    <col min="9730" max="9735" width="8.88671875" style="15"/>
    <col min="9736" max="9736" width="10" style="15" customWidth="1"/>
    <col min="9737" max="9739" width="8.88671875" style="15"/>
    <col min="9740" max="9740" width="14.5546875" style="15" customWidth="1"/>
    <col min="9741" max="9799" width="8.88671875" style="15"/>
    <col min="9800" max="9800" width="10.109375" style="15" customWidth="1"/>
    <col min="9801" max="9984" width="8.88671875" style="15"/>
    <col min="9985" max="9985" width="18.109375" style="15" customWidth="1"/>
    <col min="9986" max="9991" width="8.88671875" style="15"/>
    <col min="9992" max="9992" width="10" style="15" customWidth="1"/>
    <col min="9993" max="9995" width="8.88671875" style="15"/>
    <col min="9996" max="9996" width="14.5546875" style="15" customWidth="1"/>
    <col min="9997" max="10055" width="8.88671875" style="15"/>
    <col min="10056" max="10056" width="10.109375" style="15" customWidth="1"/>
    <col min="10057" max="10240" width="8.88671875" style="15"/>
    <col min="10241" max="10241" width="18.109375" style="15" customWidth="1"/>
    <col min="10242" max="10247" width="8.88671875" style="15"/>
    <col min="10248" max="10248" width="10" style="15" customWidth="1"/>
    <col min="10249" max="10251" width="8.88671875" style="15"/>
    <col min="10252" max="10252" width="14.5546875" style="15" customWidth="1"/>
    <col min="10253" max="10311" width="8.88671875" style="15"/>
    <col min="10312" max="10312" width="10.109375" style="15" customWidth="1"/>
    <col min="10313" max="10496" width="8.88671875" style="15"/>
    <col min="10497" max="10497" width="18.109375" style="15" customWidth="1"/>
    <col min="10498" max="10503" width="8.88671875" style="15"/>
    <col min="10504" max="10504" width="10" style="15" customWidth="1"/>
    <col min="10505" max="10507" width="8.88671875" style="15"/>
    <col min="10508" max="10508" width="14.5546875" style="15" customWidth="1"/>
    <col min="10509" max="10567" width="8.88671875" style="15"/>
    <col min="10568" max="10568" width="10.109375" style="15" customWidth="1"/>
    <col min="10569" max="10752" width="8.88671875" style="15"/>
    <col min="10753" max="10753" width="18.109375" style="15" customWidth="1"/>
    <col min="10754" max="10759" width="8.88671875" style="15"/>
    <col min="10760" max="10760" width="10" style="15" customWidth="1"/>
    <col min="10761" max="10763" width="8.88671875" style="15"/>
    <col min="10764" max="10764" width="14.5546875" style="15" customWidth="1"/>
    <col min="10765" max="10823" width="8.88671875" style="15"/>
    <col min="10824" max="10824" width="10.109375" style="15" customWidth="1"/>
    <col min="10825" max="11008" width="8.88671875" style="15"/>
    <col min="11009" max="11009" width="18.109375" style="15" customWidth="1"/>
    <col min="11010" max="11015" width="8.88671875" style="15"/>
    <col min="11016" max="11016" width="10" style="15" customWidth="1"/>
    <col min="11017" max="11019" width="8.88671875" style="15"/>
    <col min="11020" max="11020" width="14.5546875" style="15" customWidth="1"/>
    <col min="11021" max="11079" width="8.88671875" style="15"/>
    <col min="11080" max="11080" width="10.109375" style="15" customWidth="1"/>
    <col min="11081" max="11264" width="8.88671875" style="15"/>
    <col min="11265" max="11265" width="18.109375" style="15" customWidth="1"/>
    <col min="11266" max="11271" width="8.88671875" style="15"/>
    <col min="11272" max="11272" width="10" style="15" customWidth="1"/>
    <col min="11273" max="11275" width="8.88671875" style="15"/>
    <col min="11276" max="11276" width="14.5546875" style="15" customWidth="1"/>
    <col min="11277" max="11335" width="8.88671875" style="15"/>
    <col min="11336" max="11336" width="10.109375" style="15" customWidth="1"/>
    <col min="11337" max="11520" width="8.88671875" style="15"/>
    <col min="11521" max="11521" width="18.109375" style="15" customWidth="1"/>
    <col min="11522" max="11527" width="8.88671875" style="15"/>
    <col min="11528" max="11528" width="10" style="15" customWidth="1"/>
    <col min="11529" max="11531" width="8.88671875" style="15"/>
    <col min="11532" max="11532" width="14.5546875" style="15" customWidth="1"/>
    <col min="11533" max="11591" width="8.88671875" style="15"/>
    <col min="11592" max="11592" width="10.109375" style="15" customWidth="1"/>
    <col min="11593" max="11776" width="8.88671875" style="15"/>
    <col min="11777" max="11777" width="18.109375" style="15" customWidth="1"/>
    <col min="11778" max="11783" width="8.88671875" style="15"/>
    <col min="11784" max="11784" width="10" style="15" customWidth="1"/>
    <col min="11785" max="11787" width="8.88671875" style="15"/>
    <col min="11788" max="11788" width="14.5546875" style="15" customWidth="1"/>
    <col min="11789" max="11847" width="8.88671875" style="15"/>
    <col min="11848" max="11848" width="10.109375" style="15" customWidth="1"/>
    <col min="11849" max="12032" width="8.88671875" style="15"/>
    <col min="12033" max="12033" width="18.109375" style="15" customWidth="1"/>
    <col min="12034" max="12039" width="8.88671875" style="15"/>
    <col min="12040" max="12040" width="10" style="15" customWidth="1"/>
    <col min="12041" max="12043" width="8.88671875" style="15"/>
    <col min="12044" max="12044" width="14.5546875" style="15" customWidth="1"/>
    <col min="12045" max="12103" width="8.88671875" style="15"/>
    <col min="12104" max="12104" width="10.109375" style="15" customWidth="1"/>
    <col min="12105" max="12288" width="8.88671875" style="15"/>
    <col min="12289" max="12289" width="18.109375" style="15" customWidth="1"/>
    <col min="12290" max="12295" width="8.88671875" style="15"/>
    <col min="12296" max="12296" width="10" style="15" customWidth="1"/>
    <col min="12297" max="12299" width="8.88671875" style="15"/>
    <col min="12300" max="12300" width="14.5546875" style="15" customWidth="1"/>
    <col min="12301" max="12359" width="8.88671875" style="15"/>
    <col min="12360" max="12360" width="10.109375" style="15" customWidth="1"/>
    <col min="12361" max="12544" width="8.88671875" style="15"/>
    <col min="12545" max="12545" width="18.109375" style="15" customWidth="1"/>
    <col min="12546" max="12551" width="8.88671875" style="15"/>
    <col min="12552" max="12552" width="10" style="15" customWidth="1"/>
    <col min="12553" max="12555" width="8.88671875" style="15"/>
    <col min="12556" max="12556" width="14.5546875" style="15" customWidth="1"/>
    <col min="12557" max="12615" width="8.88671875" style="15"/>
    <col min="12616" max="12616" width="10.109375" style="15" customWidth="1"/>
    <col min="12617" max="12800" width="8.88671875" style="15"/>
    <col min="12801" max="12801" width="18.109375" style="15" customWidth="1"/>
    <col min="12802" max="12807" width="8.88671875" style="15"/>
    <col min="12808" max="12808" width="10" style="15" customWidth="1"/>
    <col min="12809" max="12811" width="8.88671875" style="15"/>
    <col min="12812" max="12812" width="14.5546875" style="15" customWidth="1"/>
    <col min="12813" max="12871" width="8.88671875" style="15"/>
    <col min="12872" max="12872" width="10.109375" style="15" customWidth="1"/>
    <col min="12873" max="13056" width="8.88671875" style="15"/>
    <col min="13057" max="13057" width="18.109375" style="15" customWidth="1"/>
    <col min="13058" max="13063" width="8.88671875" style="15"/>
    <col min="13064" max="13064" width="10" style="15" customWidth="1"/>
    <col min="13065" max="13067" width="8.88671875" style="15"/>
    <col min="13068" max="13068" width="14.5546875" style="15" customWidth="1"/>
    <col min="13069" max="13127" width="8.88671875" style="15"/>
    <col min="13128" max="13128" width="10.109375" style="15" customWidth="1"/>
    <col min="13129" max="13312" width="8.88671875" style="15"/>
    <col min="13313" max="13313" width="18.109375" style="15" customWidth="1"/>
    <col min="13314" max="13319" width="8.88671875" style="15"/>
    <col min="13320" max="13320" width="10" style="15" customWidth="1"/>
    <col min="13321" max="13323" width="8.88671875" style="15"/>
    <col min="13324" max="13324" width="14.5546875" style="15" customWidth="1"/>
    <col min="13325" max="13383" width="8.88671875" style="15"/>
    <col min="13384" max="13384" width="10.109375" style="15" customWidth="1"/>
    <col min="13385" max="13568" width="8.88671875" style="15"/>
    <col min="13569" max="13569" width="18.109375" style="15" customWidth="1"/>
    <col min="13570" max="13575" width="8.88671875" style="15"/>
    <col min="13576" max="13576" width="10" style="15" customWidth="1"/>
    <col min="13577" max="13579" width="8.88671875" style="15"/>
    <col min="13580" max="13580" width="14.5546875" style="15" customWidth="1"/>
    <col min="13581" max="13639" width="8.88671875" style="15"/>
    <col min="13640" max="13640" width="10.109375" style="15" customWidth="1"/>
    <col min="13641" max="13824" width="8.88671875" style="15"/>
    <col min="13825" max="13825" width="18.109375" style="15" customWidth="1"/>
    <col min="13826" max="13831" width="8.88671875" style="15"/>
    <col min="13832" max="13832" width="10" style="15" customWidth="1"/>
    <col min="13833" max="13835" width="8.88671875" style="15"/>
    <col min="13836" max="13836" width="14.5546875" style="15" customWidth="1"/>
    <col min="13837" max="13895" width="8.88671875" style="15"/>
    <col min="13896" max="13896" width="10.109375" style="15" customWidth="1"/>
    <col min="13897" max="14080" width="8.88671875" style="15"/>
    <col min="14081" max="14081" width="18.109375" style="15" customWidth="1"/>
    <col min="14082" max="14087" width="8.88671875" style="15"/>
    <col min="14088" max="14088" width="10" style="15" customWidth="1"/>
    <col min="14089" max="14091" width="8.88671875" style="15"/>
    <col min="14092" max="14092" width="14.5546875" style="15" customWidth="1"/>
    <col min="14093" max="14151" width="8.88671875" style="15"/>
    <col min="14152" max="14152" width="10.109375" style="15" customWidth="1"/>
    <col min="14153" max="14336" width="8.88671875" style="15"/>
    <col min="14337" max="14337" width="18.109375" style="15" customWidth="1"/>
    <col min="14338" max="14343" width="8.88671875" style="15"/>
    <col min="14344" max="14344" width="10" style="15" customWidth="1"/>
    <col min="14345" max="14347" width="8.88671875" style="15"/>
    <col min="14348" max="14348" width="14.5546875" style="15" customWidth="1"/>
    <col min="14349" max="14407" width="8.88671875" style="15"/>
    <col min="14408" max="14408" width="10.109375" style="15" customWidth="1"/>
    <col min="14409" max="14592" width="8.88671875" style="15"/>
    <col min="14593" max="14593" width="18.109375" style="15" customWidth="1"/>
    <col min="14594" max="14599" width="8.88671875" style="15"/>
    <col min="14600" max="14600" width="10" style="15" customWidth="1"/>
    <col min="14601" max="14603" width="8.88671875" style="15"/>
    <col min="14604" max="14604" width="14.5546875" style="15" customWidth="1"/>
    <col min="14605" max="14663" width="8.88671875" style="15"/>
    <col min="14664" max="14664" width="10.109375" style="15" customWidth="1"/>
    <col min="14665" max="14848" width="8.88671875" style="15"/>
    <col min="14849" max="14849" width="18.109375" style="15" customWidth="1"/>
    <col min="14850" max="14855" width="8.88671875" style="15"/>
    <col min="14856" max="14856" width="10" style="15" customWidth="1"/>
    <col min="14857" max="14859" width="8.88671875" style="15"/>
    <col min="14860" max="14860" width="14.5546875" style="15" customWidth="1"/>
    <col min="14861" max="14919" width="8.88671875" style="15"/>
    <col min="14920" max="14920" width="10.109375" style="15" customWidth="1"/>
    <col min="14921" max="15104" width="8.88671875" style="15"/>
    <col min="15105" max="15105" width="18.109375" style="15" customWidth="1"/>
    <col min="15106" max="15111" width="8.88671875" style="15"/>
    <col min="15112" max="15112" width="10" style="15" customWidth="1"/>
    <col min="15113" max="15115" width="8.88671875" style="15"/>
    <col min="15116" max="15116" width="14.5546875" style="15" customWidth="1"/>
    <col min="15117" max="15175" width="8.88671875" style="15"/>
    <col min="15176" max="15176" width="10.109375" style="15" customWidth="1"/>
    <col min="15177" max="15360" width="8.88671875" style="15"/>
    <col min="15361" max="15361" width="18.109375" style="15" customWidth="1"/>
    <col min="15362" max="15367" width="8.88671875" style="15"/>
    <col min="15368" max="15368" width="10" style="15" customWidth="1"/>
    <col min="15369" max="15371" width="8.88671875" style="15"/>
    <col min="15372" max="15372" width="14.5546875" style="15" customWidth="1"/>
    <col min="15373" max="15431" width="8.88671875" style="15"/>
    <col min="15432" max="15432" width="10.109375" style="15" customWidth="1"/>
    <col min="15433" max="15616" width="8.88671875" style="15"/>
    <col min="15617" max="15617" width="18.109375" style="15" customWidth="1"/>
    <col min="15618" max="15623" width="8.88671875" style="15"/>
    <col min="15624" max="15624" width="10" style="15" customWidth="1"/>
    <col min="15625" max="15627" width="8.88671875" style="15"/>
    <col min="15628" max="15628" width="14.5546875" style="15" customWidth="1"/>
    <col min="15629" max="15687" width="8.88671875" style="15"/>
    <col min="15688" max="15688" width="10.109375" style="15" customWidth="1"/>
    <col min="15689" max="15872" width="8.88671875" style="15"/>
    <col min="15873" max="15873" width="18.109375" style="15" customWidth="1"/>
    <col min="15874" max="15879" width="8.88671875" style="15"/>
    <col min="15880" max="15880" width="10" style="15" customWidth="1"/>
    <col min="15881" max="15883" width="8.88671875" style="15"/>
    <col min="15884" max="15884" width="14.5546875" style="15" customWidth="1"/>
    <col min="15885" max="15943" width="8.88671875" style="15"/>
    <col min="15944" max="15944" width="10.109375" style="15" customWidth="1"/>
    <col min="15945" max="16128" width="8.88671875" style="15"/>
    <col min="16129" max="16129" width="18.109375" style="15" customWidth="1"/>
    <col min="16130" max="16135" width="8.88671875" style="15"/>
    <col min="16136" max="16136" width="10" style="15" customWidth="1"/>
    <col min="16137" max="16139" width="8.88671875" style="15"/>
    <col min="16140" max="16140" width="14.5546875" style="15" customWidth="1"/>
    <col min="16141" max="16199" width="8.88671875" style="15"/>
    <col min="16200" max="16200" width="10.109375" style="15" customWidth="1"/>
    <col min="16201" max="16384" width="8.88671875" style="15"/>
  </cols>
  <sheetData>
    <row r="1" spans="1:45">
      <c r="A1" s="14" t="s">
        <v>20</v>
      </c>
    </row>
    <row r="2" spans="1:45">
      <c r="A2" s="16" t="s">
        <v>21</v>
      </c>
    </row>
    <row r="3" spans="1:45">
      <c r="A3" s="15" t="s">
        <v>22</v>
      </c>
      <c r="B3" s="15">
        <v>100</v>
      </c>
    </row>
    <row r="4" spans="1:45">
      <c r="A4" s="15" t="s">
        <v>23</v>
      </c>
      <c r="B4" s="17">
        <v>0.1</v>
      </c>
      <c r="F4" s="18"/>
      <c r="G4" s="19"/>
      <c r="H4" s="19"/>
      <c r="I4" s="19" t="s">
        <v>24</v>
      </c>
      <c r="J4" s="19"/>
      <c r="K4" s="19"/>
      <c r="L4" s="19"/>
    </row>
    <row r="5" spans="1:45">
      <c r="A5" s="14" t="s">
        <v>25</v>
      </c>
      <c r="B5" s="20">
        <f>IRR(J8:J11,0.1)</f>
        <v>9.4035269464604276E-2</v>
      </c>
      <c r="F5" s="21"/>
      <c r="G5" s="22">
        <f>SUM(G9:G11)</f>
        <v>5.8906E-2</v>
      </c>
      <c r="H5" s="19"/>
      <c r="I5" s="22">
        <f>IRR(I8:I11,0.1)</f>
        <v>0.10000000000000009</v>
      </c>
      <c r="J5" s="19"/>
      <c r="K5" s="19"/>
      <c r="L5" s="19"/>
      <c r="AS5" s="23"/>
    </row>
    <row r="6" spans="1:45">
      <c r="A6" s="24" t="s">
        <v>26</v>
      </c>
      <c r="B6" s="25">
        <f>B4-B5</f>
        <v>5.9647305353957292E-3</v>
      </c>
      <c r="C6" s="26" t="s">
        <v>27</v>
      </c>
      <c r="E6" s="27" t="s">
        <v>28</v>
      </c>
      <c r="F6" s="28"/>
      <c r="G6" s="29" t="s">
        <v>29</v>
      </c>
      <c r="H6" s="29" t="s">
        <v>30</v>
      </c>
      <c r="I6" s="19"/>
      <c r="J6" s="30" t="s">
        <v>29</v>
      </c>
      <c r="K6" s="19"/>
      <c r="L6" s="19"/>
      <c r="M6" s="31" t="s">
        <v>31</v>
      </c>
      <c r="N6" s="32"/>
      <c r="O6" s="32"/>
      <c r="P6" s="33" t="s">
        <v>32</v>
      </c>
      <c r="Q6" s="34"/>
      <c r="R6" s="34"/>
      <c r="AS6" s="23"/>
    </row>
    <row r="7" spans="1:45">
      <c r="A7" s="27" t="s">
        <v>33</v>
      </c>
      <c r="B7" s="27" t="s">
        <v>34</v>
      </c>
      <c r="C7" s="27" t="s">
        <v>35</v>
      </c>
      <c r="D7" s="27" t="s">
        <v>36</v>
      </c>
      <c r="E7" s="27" t="s">
        <v>37</v>
      </c>
      <c r="F7" s="28" t="s">
        <v>38</v>
      </c>
      <c r="G7" s="29" t="s">
        <v>37</v>
      </c>
      <c r="H7" s="29" t="s">
        <v>39</v>
      </c>
      <c r="I7" s="29" t="s">
        <v>40</v>
      </c>
      <c r="J7" s="30" t="s">
        <v>41</v>
      </c>
      <c r="K7" s="29" t="s">
        <v>42</v>
      </c>
      <c r="L7" s="29" t="s">
        <v>43</v>
      </c>
      <c r="M7" s="31">
        <v>1</v>
      </c>
      <c r="N7" s="32">
        <v>2</v>
      </c>
      <c r="O7" s="32">
        <v>3</v>
      </c>
      <c r="P7" s="33">
        <f>M7</f>
        <v>1</v>
      </c>
      <c r="Q7" s="34">
        <f>N7</f>
        <v>2</v>
      </c>
      <c r="R7" s="34">
        <f>O7</f>
        <v>3</v>
      </c>
      <c r="AS7" s="23"/>
    </row>
    <row r="8" spans="1:45">
      <c r="A8" s="15">
        <v>0</v>
      </c>
      <c r="F8" s="18">
        <f>A8</f>
        <v>0</v>
      </c>
      <c r="G8" s="19"/>
      <c r="H8" s="19"/>
      <c r="I8" s="35">
        <f>-B3</f>
        <v>-100</v>
      </c>
      <c r="J8" s="36">
        <f>I8</f>
        <v>-100</v>
      </c>
      <c r="K8" s="19"/>
      <c r="L8" s="19"/>
      <c r="M8" s="37">
        <f>I8</f>
        <v>-100</v>
      </c>
      <c r="N8" s="38">
        <f>I8</f>
        <v>-100</v>
      </c>
      <c r="O8" s="38">
        <f>I8</f>
        <v>-100</v>
      </c>
      <c r="P8" s="39"/>
      <c r="Q8" s="40"/>
      <c r="R8" s="40"/>
      <c r="AS8" s="23"/>
    </row>
    <row r="9" spans="1:45">
      <c r="A9" s="15">
        <f>1+A8</f>
        <v>1</v>
      </c>
      <c r="B9" s="41">
        <v>0.01</v>
      </c>
      <c r="C9" s="41">
        <f>1-B9</f>
        <v>0.99</v>
      </c>
      <c r="D9" s="41">
        <f>C9</f>
        <v>0.99</v>
      </c>
      <c r="E9" s="41">
        <f>1-D9</f>
        <v>1.0000000000000009E-2</v>
      </c>
      <c r="F9" s="18">
        <f>A9</f>
        <v>1</v>
      </c>
      <c r="G9" s="42">
        <f>B9</f>
        <v>0.01</v>
      </c>
      <c r="H9" s="43">
        <v>0.8</v>
      </c>
      <c r="I9" s="35">
        <f>B$4*B$3</f>
        <v>10</v>
      </c>
      <c r="J9" s="36">
        <f>SUM(P9:R9)+(1-$G$5)*I9</f>
        <v>10.780000000000001</v>
      </c>
      <c r="K9" s="35">
        <f>B$3</f>
        <v>100</v>
      </c>
      <c r="L9" s="35">
        <f>K9+I9</f>
        <v>110</v>
      </c>
      <c r="M9" s="37">
        <f t="shared" ref="M9:O11" si="0">IF($A9&gt;M$7,0,IF($A9&lt;M$7,$I9,$L9*$H9))</f>
        <v>88</v>
      </c>
      <c r="N9" s="38">
        <f t="shared" si="0"/>
        <v>10</v>
      </c>
      <c r="O9" s="38">
        <f t="shared" si="0"/>
        <v>10</v>
      </c>
      <c r="P9" s="39">
        <f>M9*$G$9</f>
        <v>0.88</v>
      </c>
      <c r="Q9" s="40">
        <f>N9*$G$10</f>
        <v>0.19800000000000001</v>
      </c>
      <c r="R9" s="40">
        <f>O9*$G$11</f>
        <v>0.29105999999999999</v>
      </c>
      <c r="AS9" s="23"/>
    </row>
    <row r="10" spans="1:45">
      <c r="A10" s="15">
        <f>1+A9</f>
        <v>2</v>
      </c>
      <c r="B10" s="41">
        <v>0.02</v>
      </c>
      <c r="C10" s="41">
        <f>1-B10</f>
        <v>0.98</v>
      </c>
      <c r="D10" s="41">
        <f>C10*D9</f>
        <v>0.97019999999999995</v>
      </c>
      <c r="E10" s="41">
        <f>1-D10</f>
        <v>2.9800000000000049E-2</v>
      </c>
      <c r="F10" s="18">
        <f>A10</f>
        <v>2</v>
      </c>
      <c r="G10" s="42">
        <f>B10*D9</f>
        <v>1.9800000000000002E-2</v>
      </c>
      <c r="H10" s="43">
        <v>0.7</v>
      </c>
      <c r="I10" s="35">
        <f>B$4*B$3</f>
        <v>10</v>
      </c>
      <c r="J10" s="36">
        <f>SUM(P10:R10)+(1-$G$5)*I10</f>
        <v>11.226600000000001</v>
      </c>
      <c r="K10" s="35">
        <f>B$3</f>
        <v>100</v>
      </c>
      <c r="L10" s="35">
        <f>K10+I10</f>
        <v>110</v>
      </c>
      <c r="M10" s="37">
        <f t="shared" si="0"/>
        <v>0</v>
      </c>
      <c r="N10" s="38">
        <f t="shared" si="0"/>
        <v>77</v>
      </c>
      <c r="O10" s="38">
        <f t="shared" si="0"/>
        <v>10</v>
      </c>
      <c r="P10" s="39">
        <f>M10*$G$9</f>
        <v>0</v>
      </c>
      <c r="Q10" s="40">
        <f>N10*$G$10</f>
        <v>1.5246000000000002</v>
      </c>
      <c r="R10" s="40">
        <f>O10*$G$11</f>
        <v>0.29105999999999999</v>
      </c>
      <c r="AS10" s="23"/>
    </row>
    <row r="11" spans="1:45">
      <c r="A11" s="15">
        <f>1+A10</f>
        <v>3</v>
      </c>
      <c r="B11" s="41">
        <v>0.03</v>
      </c>
      <c r="C11" s="41">
        <f>1-B11</f>
        <v>0.97</v>
      </c>
      <c r="D11" s="41">
        <f>C11*D10</f>
        <v>0.94109399999999988</v>
      </c>
      <c r="E11" s="41">
        <f>1-D11</f>
        <v>5.8906000000000125E-2</v>
      </c>
      <c r="F11" s="18">
        <f>A11</f>
        <v>3</v>
      </c>
      <c r="G11" s="42">
        <f>B11*D10</f>
        <v>2.9105999999999996E-2</v>
      </c>
      <c r="H11" s="43">
        <v>0.7</v>
      </c>
      <c r="I11" s="35">
        <f>B$4*B$3+B3</f>
        <v>110</v>
      </c>
      <c r="J11" s="36">
        <f>SUM(P11:R11)+(1-$G$5)*I11</f>
        <v>105.76150200000001</v>
      </c>
      <c r="K11" s="35">
        <f>B$3</f>
        <v>100</v>
      </c>
      <c r="L11" s="35">
        <f>I11</f>
        <v>110</v>
      </c>
      <c r="M11" s="37">
        <f t="shared" si="0"/>
        <v>0</v>
      </c>
      <c r="N11" s="38">
        <f t="shared" si="0"/>
        <v>0</v>
      </c>
      <c r="O11" s="38">
        <f t="shared" si="0"/>
        <v>77</v>
      </c>
      <c r="P11" s="39">
        <f>M11*$G$9</f>
        <v>0</v>
      </c>
      <c r="Q11" s="40">
        <f>N11*$G$10</f>
        <v>0</v>
      </c>
      <c r="R11" s="40">
        <f>O11*$G$11</f>
        <v>2.2411619999999997</v>
      </c>
    </row>
    <row r="12" spans="1:45">
      <c r="B12" s="41"/>
      <c r="C12" s="41"/>
      <c r="D12" s="41"/>
      <c r="F12" s="41"/>
      <c r="G12" s="41" t="s">
        <v>24</v>
      </c>
      <c r="H12" s="23"/>
      <c r="I12" s="23"/>
      <c r="J12" s="23"/>
      <c r="K12" s="23"/>
    </row>
    <row r="13" spans="1:45">
      <c r="A13" s="15" t="s">
        <v>44</v>
      </c>
      <c r="B13" s="41" t="s">
        <v>45</v>
      </c>
      <c r="C13" s="41" t="s">
        <v>46</v>
      </c>
      <c r="D13" s="41"/>
      <c r="F13" s="41"/>
      <c r="G13" s="41">
        <f>D10-D9</f>
        <v>-1.980000000000004E-2</v>
      </c>
      <c r="H13" s="23"/>
      <c r="I13" s="17">
        <f>IRR(I8:I11)</f>
        <v>0.10000000000000009</v>
      </c>
      <c r="J13" s="23"/>
      <c r="K13" s="23"/>
      <c r="L13" s="15" t="s">
        <v>47</v>
      </c>
      <c r="M13" s="17">
        <f>IRR(M8:M11)</f>
        <v>-0.12000000000000011</v>
      </c>
      <c r="N13" s="17">
        <f>IRR(N8:N11)</f>
        <v>-7.1080208437642733E-2</v>
      </c>
      <c r="O13" s="17">
        <f>IRR(O8:O11)</f>
        <v>-1.1246435643361585E-2</v>
      </c>
    </row>
    <row r="14" spans="1:45">
      <c r="A14" s="41">
        <f>G9</f>
        <v>0.01</v>
      </c>
      <c r="B14" s="41">
        <f>IRR(M8:M11)</f>
        <v>-0.12000000000000011</v>
      </c>
      <c r="C14" s="41">
        <f>B$4-B14</f>
        <v>0.22000000000000011</v>
      </c>
      <c r="D14" s="41"/>
      <c r="F14" s="41"/>
      <c r="G14" s="41">
        <f>D11-D10</f>
        <v>-2.9106000000000076E-2</v>
      </c>
      <c r="H14" s="23"/>
      <c r="I14" s="23"/>
      <c r="J14" s="23"/>
      <c r="K14" s="23"/>
    </row>
    <row r="15" spans="1:45">
      <c r="A15" s="41">
        <f>G10</f>
        <v>1.9800000000000002E-2</v>
      </c>
      <c r="B15" s="41">
        <f>IRR(N8:N11)</f>
        <v>-7.1080208437642733E-2</v>
      </c>
      <c r="C15" s="41">
        <f>B$4-B15</f>
        <v>0.17108020843764274</v>
      </c>
      <c r="D15" s="41"/>
      <c r="E15" s="41"/>
      <c r="F15" s="41"/>
      <c r="H15" s="23"/>
      <c r="I15" s="23"/>
      <c r="J15" s="23"/>
      <c r="K15" s="23"/>
    </row>
    <row r="16" spans="1:45">
      <c r="A16" s="41">
        <f>G11</f>
        <v>2.9105999999999996E-2</v>
      </c>
      <c r="B16" s="41">
        <f>IRR(O8:O11)</f>
        <v>-1.1246435643361585E-2</v>
      </c>
      <c r="C16" s="41">
        <f>B$4-B16</f>
        <v>0.11124643564336159</v>
      </c>
      <c r="D16" s="41"/>
      <c r="E16" s="41"/>
      <c r="F16" s="41"/>
      <c r="H16" s="23"/>
      <c r="I16" s="23"/>
      <c r="J16" s="23"/>
      <c r="K16" s="23"/>
    </row>
    <row r="17" spans="1:11">
      <c r="A17" s="20">
        <f>B4-A14*C14-A15*C15-A16*C16</f>
        <v>9.1174673117098995E-2</v>
      </c>
      <c r="B17" s="44" t="s">
        <v>48</v>
      </c>
      <c r="C17" s="41"/>
      <c r="D17" s="41"/>
      <c r="E17" s="41"/>
      <c r="F17" s="41"/>
      <c r="H17" s="23"/>
      <c r="I17" s="23"/>
      <c r="J17" s="23"/>
      <c r="K17" s="23"/>
    </row>
    <row r="18" spans="1:11">
      <c r="A18" s="20">
        <f>(1-G5)*B4+G9*B14+G10*B15+G11*B16</f>
        <v>9.1174673117098995E-2</v>
      </c>
      <c r="B18" s="44" t="s">
        <v>49</v>
      </c>
      <c r="C18" s="41"/>
      <c r="D18" s="41"/>
      <c r="E18" s="41"/>
      <c r="F18" s="41"/>
      <c r="H18" s="23"/>
      <c r="I18" s="23"/>
      <c r="J18" s="23"/>
      <c r="K18" s="23"/>
    </row>
    <row r="19" spans="1:11">
      <c r="A19" s="24" t="s">
        <v>26</v>
      </c>
      <c r="B19" s="25">
        <f>B4-A17</f>
        <v>8.8253268829010106E-3</v>
      </c>
      <c r="C19" s="26" t="s">
        <v>50</v>
      </c>
      <c r="D19" s="41"/>
      <c r="E19" s="41"/>
      <c r="F19" s="41"/>
      <c r="H19" s="23"/>
      <c r="I19" s="23"/>
      <c r="J19" s="23"/>
      <c r="K19" s="23"/>
    </row>
    <row r="20" spans="1:11">
      <c r="A20" s="15" t="s">
        <v>51</v>
      </c>
      <c r="B20" s="41"/>
      <c r="C20" s="41"/>
      <c r="D20" s="41"/>
      <c r="E20" s="41"/>
      <c r="F20" s="41"/>
      <c r="H20" s="23"/>
      <c r="I20" s="23"/>
      <c r="J20" s="23"/>
      <c r="K20" s="23"/>
    </row>
    <row r="21" spans="1:11">
      <c r="A21" s="15" t="s">
        <v>52</v>
      </c>
      <c r="B21" s="41"/>
      <c r="C21" s="41"/>
      <c r="D21" s="41"/>
      <c r="E21" s="41"/>
      <c r="F21" s="41"/>
      <c r="H21" s="23"/>
      <c r="I21" s="23"/>
      <c r="J21" s="23"/>
      <c r="K21" s="23"/>
    </row>
    <row r="22" spans="1:11">
      <c r="A22" s="15" t="s">
        <v>53</v>
      </c>
      <c r="B22" s="41"/>
      <c r="C22" s="41"/>
      <c r="D22" s="41"/>
      <c r="E22" s="41"/>
      <c r="F22" s="41"/>
      <c r="G22" s="41"/>
      <c r="H22" s="23"/>
      <c r="I22" s="23"/>
      <c r="J22" s="23"/>
      <c r="K22" s="23"/>
    </row>
    <row r="23" spans="1:11">
      <c r="A23" s="15" t="s">
        <v>54</v>
      </c>
      <c r="B23" s="41"/>
      <c r="C23" s="41"/>
      <c r="D23" s="41"/>
      <c r="E23" s="41"/>
      <c r="F23" s="41"/>
      <c r="G23" s="41"/>
      <c r="H23" s="23"/>
      <c r="I23" s="23"/>
      <c r="J23" s="23"/>
      <c r="K23" s="23"/>
    </row>
    <row r="24" spans="1:11">
      <c r="B24" s="41"/>
      <c r="C24" s="41"/>
      <c r="D24" s="41"/>
      <c r="E24" s="41"/>
      <c r="F24" s="41"/>
      <c r="G24" s="41"/>
      <c r="H24" s="23"/>
      <c r="I24" s="23"/>
      <c r="J24" s="23"/>
      <c r="K24" s="23"/>
    </row>
    <row r="25" spans="1:11">
      <c r="B25" s="41"/>
      <c r="C25" s="41"/>
      <c r="D25" s="41"/>
      <c r="E25" s="41"/>
      <c r="F25" s="41"/>
      <c r="G25" s="41"/>
      <c r="H25" s="23"/>
      <c r="I25" s="23"/>
      <c r="J25" s="23"/>
      <c r="K25" s="23"/>
    </row>
    <row r="26" spans="1:11">
      <c r="B26" s="41"/>
      <c r="C26" s="41"/>
      <c r="D26" s="41"/>
      <c r="E26" s="41"/>
      <c r="F26" s="41"/>
      <c r="G26" s="41"/>
      <c r="H26" s="23"/>
      <c r="I26" s="23"/>
      <c r="J26" s="23"/>
      <c r="K26" s="23"/>
    </row>
    <row r="27" spans="1:11">
      <c r="B27" s="41"/>
      <c r="C27" s="41"/>
      <c r="D27" s="41"/>
      <c r="E27" s="41"/>
      <c r="F27" s="41"/>
      <c r="G27" s="41"/>
      <c r="H27" s="23"/>
      <c r="I27" s="23"/>
      <c r="J27" s="23"/>
      <c r="K27" s="23"/>
    </row>
    <row r="28" spans="1:11">
      <c r="B28" s="41"/>
      <c r="C28" s="41"/>
      <c r="D28" s="41"/>
      <c r="E28" s="41"/>
      <c r="F28" s="41"/>
      <c r="G28" s="41"/>
      <c r="H28" s="23"/>
      <c r="I28" s="23"/>
      <c r="J28" s="23"/>
      <c r="K28" s="23"/>
    </row>
    <row r="29" spans="1:11">
      <c r="B29" s="41"/>
      <c r="C29" s="41"/>
      <c r="D29" s="41"/>
      <c r="E29" s="41"/>
      <c r="F29" s="41"/>
      <c r="G29" s="41"/>
      <c r="H29" s="23"/>
      <c r="I29" s="23"/>
      <c r="J29" s="23"/>
      <c r="K29" s="23"/>
    </row>
    <row r="30" spans="1:11">
      <c r="B30" s="41"/>
      <c r="C30" s="41"/>
      <c r="D30" s="41"/>
      <c r="E30" s="41"/>
      <c r="F30" s="41"/>
      <c r="G30" s="41"/>
      <c r="H30" s="23"/>
      <c r="I30" s="23"/>
      <c r="J30" s="23"/>
      <c r="K30" s="23"/>
    </row>
    <row r="31" spans="1:11">
      <c r="B31" s="41"/>
      <c r="C31" s="41"/>
      <c r="D31" s="41"/>
      <c r="E31" s="41"/>
      <c r="F31" s="41"/>
      <c r="G31" s="41"/>
      <c r="H31" s="23"/>
      <c r="I31" s="23"/>
      <c r="J31" s="23"/>
      <c r="K31" s="23"/>
    </row>
    <row r="32" spans="1:11">
      <c r="B32" s="41"/>
      <c r="C32" s="41"/>
      <c r="D32" s="41"/>
      <c r="E32" s="41"/>
      <c r="F32" s="41"/>
      <c r="G32" s="41"/>
      <c r="H32" s="23"/>
      <c r="I32" s="23"/>
      <c r="J32" s="23"/>
      <c r="K32" s="23"/>
    </row>
    <row r="33" spans="2:11">
      <c r="B33" s="41"/>
      <c r="C33" s="41"/>
      <c r="D33" s="41"/>
      <c r="E33" s="41"/>
      <c r="F33" s="41"/>
      <c r="G33" s="41"/>
      <c r="H33" s="23"/>
      <c r="I33" s="23"/>
      <c r="J33" s="23"/>
      <c r="K33" s="23"/>
    </row>
    <row r="34" spans="2:11">
      <c r="B34" s="41"/>
      <c r="C34" s="41"/>
      <c r="D34" s="41"/>
      <c r="E34" s="41"/>
      <c r="F34" s="41"/>
      <c r="G34" s="41"/>
      <c r="H34" s="23"/>
      <c r="I34" s="23"/>
      <c r="J34" s="23"/>
      <c r="K34" s="23"/>
    </row>
    <row r="35" spans="2:11">
      <c r="B35" s="41"/>
      <c r="C35" s="41"/>
      <c r="D35" s="41"/>
      <c r="E35" s="41"/>
      <c r="F35" s="41"/>
      <c r="G35" s="41"/>
      <c r="H35" s="23"/>
      <c r="I35" s="23"/>
      <c r="J35" s="23"/>
      <c r="K35" s="23"/>
    </row>
    <row r="36" spans="2:11">
      <c r="B36" s="41"/>
      <c r="C36" s="41"/>
      <c r="D36" s="41"/>
      <c r="E36" s="41"/>
      <c r="F36" s="41"/>
      <c r="G36" s="41"/>
      <c r="H36" s="23"/>
      <c r="I36" s="23"/>
      <c r="J36" s="23"/>
      <c r="K36" s="23"/>
    </row>
    <row r="37" spans="2:11">
      <c r="B37" s="41"/>
      <c r="C37" s="41"/>
      <c r="D37" s="41"/>
      <c r="E37" s="41"/>
      <c r="F37" s="41"/>
      <c r="G37" s="41"/>
      <c r="H37" s="23"/>
      <c r="I37" s="23"/>
      <c r="J37" s="23"/>
      <c r="K37" s="23"/>
    </row>
  </sheetData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BU40"/>
  <sheetViews>
    <sheetView workbookViewId="0"/>
  </sheetViews>
  <sheetFormatPr defaultRowHeight="13.2"/>
  <cols>
    <col min="1" max="1" width="12.5546875" style="15" bestFit="1" customWidth="1"/>
    <col min="2" max="2" width="8.88671875" style="15"/>
    <col min="3" max="3" width="9.44140625" style="15" customWidth="1"/>
    <col min="4" max="7" width="8.88671875" style="15"/>
    <col min="8" max="10" width="11.33203125" style="15" customWidth="1"/>
    <col min="11" max="72" width="8.88671875" style="15"/>
    <col min="73" max="73" width="10.109375" style="23" customWidth="1"/>
    <col min="74" max="256" width="8.88671875" style="15"/>
    <col min="257" max="257" width="12.5546875" style="15" bestFit="1" customWidth="1"/>
    <col min="258" max="258" width="8.88671875" style="15"/>
    <col min="259" max="259" width="9.44140625" style="15" customWidth="1"/>
    <col min="260" max="263" width="8.88671875" style="15"/>
    <col min="264" max="266" width="11.33203125" style="15" customWidth="1"/>
    <col min="267" max="328" width="8.88671875" style="15"/>
    <col min="329" max="329" width="10.109375" style="15" customWidth="1"/>
    <col min="330" max="512" width="8.88671875" style="15"/>
    <col min="513" max="513" width="12.5546875" style="15" bestFit="1" customWidth="1"/>
    <col min="514" max="514" width="8.88671875" style="15"/>
    <col min="515" max="515" width="9.44140625" style="15" customWidth="1"/>
    <col min="516" max="519" width="8.88671875" style="15"/>
    <col min="520" max="522" width="11.33203125" style="15" customWidth="1"/>
    <col min="523" max="584" width="8.88671875" style="15"/>
    <col min="585" max="585" width="10.109375" style="15" customWidth="1"/>
    <col min="586" max="768" width="8.88671875" style="15"/>
    <col min="769" max="769" width="12.5546875" style="15" bestFit="1" customWidth="1"/>
    <col min="770" max="770" width="8.88671875" style="15"/>
    <col min="771" max="771" width="9.44140625" style="15" customWidth="1"/>
    <col min="772" max="775" width="8.88671875" style="15"/>
    <col min="776" max="778" width="11.33203125" style="15" customWidth="1"/>
    <col min="779" max="840" width="8.88671875" style="15"/>
    <col min="841" max="841" width="10.109375" style="15" customWidth="1"/>
    <col min="842" max="1024" width="8.88671875" style="15"/>
    <col min="1025" max="1025" width="12.5546875" style="15" bestFit="1" customWidth="1"/>
    <col min="1026" max="1026" width="8.88671875" style="15"/>
    <col min="1027" max="1027" width="9.44140625" style="15" customWidth="1"/>
    <col min="1028" max="1031" width="8.88671875" style="15"/>
    <col min="1032" max="1034" width="11.33203125" style="15" customWidth="1"/>
    <col min="1035" max="1096" width="8.88671875" style="15"/>
    <col min="1097" max="1097" width="10.109375" style="15" customWidth="1"/>
    <col min="1098" max="1280" width="8.88671875" style="15"/>
    <col min="1281" max="1281" width="12.5546875" style="15" bestFit="1" customWidth="1"/>
    <col min="1282" max="1282" width="8.88671875" style="15"/>
    <col min="1283" max="1283" width="9.44140625" style="15" customWidth="1"/>
    <col min="1284" max="1287" width="8.88671875" style="15"/>
    <col min="1288" max="1290" width="11.33203125" style="15" customWidth="1"/>
    <col min="1291" max="1352" width="8.88671875" style="15"/>
    <col min="1353" max="1353" width="10.109375" style="15" customWidth="1"/>
    <col min="1354" max="1536" width="8.88671875" style="15"/>
    <col min="1537" max="1537" width="12.5546875" style="15" bestFit="1" customWidth="1"/>
    <col min="1538" max="1538" width="8.88671875" style="15"/>
    <col min="1539" max="1539" width="9.44140625" style="15" customWidth="1"/>
    <col min="1540" max="1543" width="8.88671875" style="15"/>
    <col min="1544" max="1546" width="11.33203125" style="15" customWidth="1"/>
    <col min="1547" max="1608" width="8.88671875" style="15"/>
    <col min="1609" max="1609" width="10.109375" style="15" customWidth="1"/>
    <col min="1610" max="1792" width="8.88671875" style="15"/>
    <col min="1793" max="1793" width="12.5546875" style="15" bestFit="1" customWidth="1"/>
    <col min="1794" max="1794" width="8.88671875" style="15"/>
    <col min="1795" max="1795" width="9.44140625" style="15" customWidth="1"/>
    <col min="1796" max="1799" width="8.88671875" style="15"/>
    <col min="1800" max="1802" width="11.33203125" style="15" customWidth="1"/>
    <col min="1803" max="1864" width="8.88671875" style="15"/>
    <col min="1865" max="1865" width="10.109375" style="15" customWidth="1"/>
    <col min="1866" max="2048" width="8.88671875" style="15"/>
    <col min="2049" max="2049" width="12.5546875" style="15" bestFit="1" customWidth="1"/>
    <col min="2050" max="2050" width="8.88671875" style="15"/>
    <col min="2051" max="2051" width="9.44140625" style="15" customWidth="1"/>
    <col min="2052" max="2055" width="8.88671875" style="15"/>
    <col min="2056" max="2058" width="11.33203125" style="15" customWidth="1"/>
    <col min="2059" max="2120" width="8.88671875" style="15"/>
    <col min="2121" max="2121" width="10.109375" style="15" customWidth="1"/>
    <col min="2122" max="2304" width="8.88671875" style="15"/>
    <col min="2305" max="2305" width="12.5546875" style="15" bestFit="1" customWidth="1"/>
    <col min="2306" max="2306" width="8.88671875" style="15"/>
    <col min="2307" max="2307" width="9.44140625" style="15" customWidth="1"/>
    <col min="2308" max="2311" width="8.88671875" style="15"/>
    <col min="2312" max="2314" width="11.33203125" style="15" customWidth="1"/>
    <col min="2315" max="2376" width="8.88671875" style="15"/>
    <col min="2377" max="2377" width="10.109375" style="15" customWidth="1"/>
    <col min="2378" max="2560" width="8.88671875" style="15"/>
    <col min="2561" max="2561" width="12.5546875" style="15" bestFit="1" customWidth="1"/>
    <col min="2562" max="2562" width="8.88671875" style="15"/>
    <col min="2563" max="2563" width="9.44140625" style="15" customWidth="1"/>
    <col min="2564" max="2567" width="8.88671875" style="15"/>
    <col min="2568" max="2570" width="11.33203125" style="15" customWidth="1"/>
    <col min="2571" max="2632" width="8.88671875" style="15"/>
    <col min="2633" max="2633" width="10.109375" style="15" customWidth="1"/>
    <col min="2634" max="2816" width="8.88671875" style="15"/>
    <col min="2817" max="2817" width="12.5546875" style="15" bestFit="1" customWidth="1"/>
    <col min="2818" max="2818" width="8.88671875" style="15"/>
    <col min="2819" max="2819" width="9.44140625" style="15" customWidth="1"/>
    <col min="2820" max="2823" width="8.88671875" style="15"/>
    <col min="2824" max="2826" width="11.33203125" style="15" customWidth="1"/>
    <col min="2827" max="2888" width="8.88671875" style="15"/>
    <col min="2889" max="2889" width="10.109375" style="15" customWidth="1"/>
    <col min="2890" max="3072" width="8.88671875" style="15"/>
    <col min="3073" max="3073" width="12.5546875" style="15" bestFit="1" customWidth="1"/>
    <col min="3074" max="3074" width="8.88671875" style="15"/>
    <col min="3075" max="3075" width="9.44140625" style="15" customWidth="1"/>
    <col min="3076" max="3079" width="8.88671875" style="15"/>
    <col min="3080" max="3082" width="11.33203125" style="15" customWidth="1"/>
    <col min="3083" max="3144" width="8.88671875" style="15"/>
    <col min="3145" max="3145" width="10.109375" style="15" customWidth="1"/>
    <col min="3146" max="3328" width="8.88671875" style="15"/>
    <col min="3329" max="3329" width="12.5546875" style="15" bestFit="1" customWidth="1"/>
    <col min="3330" max="3330" width="8.88671875" style="15"/>
    <col min="3331" max="3331" width="9.44140625" style="15" customWidth="1"/>
    <col min="3332" max="3335" width="8.88671875" style="15"/>
    <col min="3336" max="3338" width="11.33203125" style="15" customWidth="1"/>
    <col min="3339" max="3400" width="8.88671875" style="15"/>
    <col min="3401" max="3401" width="10.109375" style="15" customWidth="1"/>
    <col min="3402" max="3584" width="8.88671875" style="15"/>
    <col min="3585" max="3585" width="12.5546875" style="15" bestFit="1" customWidth="1"/>
    <col min="3586" max="3586" width="8.88671875" style="15"/>
    <col min="3587" max="3587" width="9.44140625" style="15" customWidth="1"/>
    <col min="3588" max="3591" width="8.88671875" style="15"/>
    <col min="3592" max="3594" width="11.33203125" style="15" customWidth="1"/>
    <col min="3595" max="3656" width="8.88671875" style="15"/>
    <col min="3657" max="3657" width="10.109375" style="15" customWidth="1"/>
    <col min="3658" max="3840" width="8.88671875" style="15"/>
    <col min="3841" max="3841" width="12.5546875" style="15" bestFit="1" customWidth="1"/>
    <col min="3842" max="3842" width="8.88671875" style="15"/>
    <col min="3843" max="3843" width="9.44140625" style="15" customWidth="1"/>
    <col min="3844" max="3847" width="8.88671875" style="15"/>
    <col min="3848" max="3850" width="11.33203125" style="15" customWidth="1"/>
    <col min="3851" max="3912" width="8.88671875" style="15"/>
    <col min="3913" max="3913" width="10.109375" style="15" customWidth="1"/>
    <col min="3914" max="4096" width="8.88671875" style="15"/>
    <col min="4097" max="4097" width="12.5546875" style="15" bestFit="1" customWidth="1"/>
    <col min="4098" max="4098" width="8.88671875" style="15"/>
    <col min="4099" max="4099" width="9.44140625" style="15" customWidth="1"/>
    <col min="4100" max="4103" width="8.88671875" style="15"/>
    <col min="4104" max="4106" width="11.33203125" style="15" customWidth="1"/>
    <col min="4107" max="4168" width="8.88671875" style="15"/>
    <col min="4169" max="4169" width="10.109375" style="15" customWidth="1"/>
    <col min="4170" max="4352" width="8.88671875" style="15"/>
    <col min="4353" max="4353" width="12.5546875" style="15" bestFit="1" customWidth="1"/>
    <col min="4354" max="4354" width="8.88671875" style="15"/>
    <col min="4355" max="4355" width="9.44140625" style="15" customWidth="1"/>
    <col min="4356" max="4359" width="8.88671875" style="15"/>
    <col min="4360" max="4362" width="11.33203125" style="15" customWidth="1"/>
    <col min="4363" max="4424" width="8.88671875" style="15"/>
    <col min="4425" max="4425" width="10.109375" style="15" customWidth="1"/>
    <col min="4426" max="4608" width="8.88671875" style="15"/>
    <col min="4609" max="4609" width="12.5546875" style="15" bestFit="1" customWidth="1"/>
    <col min="4610" max="4610" width="8.88671875" style="15"/>
    <col min="4611" max="4611" width="9.44140625" style="15" customWidth="1"/>
    <col min="4612" max="4615" width="8.88671875" style="15"/>
    <col min="4616" max="4618" width="11.33203125" style="15" customWidth="1"/>
    <col min="4619" max="4680" width="8.88671875" style="15"/>
    <col min="4681" max="4681" width="10.109375" style="15" customWidth="1"/>
    <col min="4682" max="4864" width="8.88671875" style="15"/>
    <col min="4865" max="4865" width="12.5546875" style="15" bestFit="1" customWidth="1"/>
    <col min="4866" max="4866" width="8.88671875" style="15"/>
    <col min="4867" max="4867" width="9.44140625" style="15" customWidth="1"/>
    <col min="4868" max="4871" width="8.88671875" style="15"/>
    <col min="4872" max="4874" width="11.33203125" style="15" customWidth="1"/>
    <col min="4875" max="4936" width="8.88671875" style="15"/>
    <col min="4937" max="4937" width="10.109375" style="15" customWidth="1"/>
    <col min="4938" max="5120" width="8.88671875" style="15"/>
    <col min="5121" max="5121" width="12.5546875" style="15" bestFit="1" customWidth="1"/>
    <col min="5122" max="5122" width="8.88671875" style="15"/>
    <col min="5123" max="5123" width="9.44140625" style="15" customWidth="1"/>
    <col min="5124" max="5127" width="8.88671875" style="15"/>
    <col min="5128" max="5130" width="11.33203125" style="15" customWidth="1"/>
    <col min="5131" max="5192" width="8.88671875" style="15"/>
    <col min="5193" max="5193" width="10.109375" style="15" customWidth="1"/>
    <col min="5194" max="5376" width="8.88671875" style="15"/>
    <col min="5377" max="5377" width="12.5546875" style="15" bestFit="1" customWidth="1"/>
    <col min="5378" max="5378" width="8.88671875" style="15"/>
    <col min="5379" max="5379" width="9.44140625" style="15" customWidth="1"/>
    <col min="5380" max="5383" width="8.88671875" style="15"/>
    <col min="5384" max="5386" width="11.33203125" style="15" customWidth="1"/>
    <col min="5387" max="5448" width="8.88671875" style="15"/>
    <col min="5449" max="5449" width="10.109375" style="15" customWidth="1"/>
    <col min="5450" max="5632" width="8.88671875" style="15"/>
    <col min="5633" max="5633" width="12.5546875" style="15" bestFit="1" customWidth="1"/>
    <col min="5634" max="5634" width="8.88671875" style="15"/>
    <col min="5635" max="5635" width="9.44140625" style="15" customWidth="1"/>
    <col min="5636" max="5639" width="8.88671875" style="15"/>
    <col min="5640" max="5642" width="11.33203125" style="15" customWidth="1"/>
    <col min="5643" max="5704" width="8.88671875" style="15"/>
    <col min="5705" max="5705" width="10.109375" style="15" customWidth="1"/>
    <col min="5706" max="5888" width="8.88671875" style="15"/>
    <col min="5889" max="5889" width="12.5546875" style="15" bestFit="1" customWidth="1"/>
    <col min="5890" max="5890" width="8.88671875" style="15"/>
    <col min="5891" max="5891" width="9.44140625" style="15" customWidth="1"/>
    <col min="5892" max="5895" width="8.88671875" style="15"/>
    <col min="5896" max="5898" width="11.33203125" style="15" customWidth="1"/>
    <col min="5899" max="5960" width="8.88671875" style="15"/>
    <col min="5961" max="5961" width="10.109375" style="15" customWidth="1"/>
    <col min="5962" max="6144" width="8.88671875" style="15"/>
    <col min="6145" max="6145" width="12.5546875" style="15" bestFit="1" customWidth="1"/>
    <col min="6146" max="6146" width="8.88671875" style="15"/>
    <col min="6147" max="6147" width="9.44140625" style="15" customWidth="1"/>
    <col min="6148" max="6151" width="8.88671875" style="15"/>
    <col min="6152" max="6154" width="11.33203125" style="15" customWidth="1"/>
    <col min="6155" max="6216" width="8.88671875" style="15"/>
    <col min="6217" max="6217" width="10.109375" style="15" customWidth="1"/>
    <col min="6218" max="6400" width="8.88671875" style="15"/>
    <col min="6401" max="6401" width="12.5546875" style="15" bestFit="1" customWidth="1"/>
    <col min="6402" max="6402" width="8.88671875" style="15"/>
    <col min="6403" max="6403" width="9.44140625" style="15" customWidth="1"/>
    <col min="6404" max="6407" width="8.88671875" style="15"/>
    <col min="6408" max="6410" width="11.33203125" style="15" customWidth="1"/>
    <col min="6411" max="6472" width="8.88671875" style="15"/>
    <col min="6473" max="6473" width="10.109375" style="15" customWidth="1"/>
    <col min="6474" max="6656" width="8.88671875" style="15"/>
    <col min="6657" max="6657" width="12.5546875" style="15" bestFit="1" customWidth="1"/>
    <col min="6658" max="6658" width="8.88671875" style="15"/>
    <col min="6659" max="6659" width="9.44140625" style="15" customWidth="1"/>
    <col min="6660" max="6663" width="8.88671875" style="15"/>
    <col min="6664" max="6666" width="11.33203125" style="15" customWidth="1"/>
    <col min="6667" max="6728" width="8.88671875" style="15"/>
    <col min="6729" max="6729" width="10.109375" style="15" customWidth="1"/>
    <col min="6730" max="6912" width="8.88671875" style="15"/>
    <col min="6913" max="6913" width="12.5546875" style="15" bestFit="1" customWidth="1"/>
    <col min="6914" max="6914" width="8.88671875" style="15"/>
    <col min="6915" max="6915" width="9.44140625" style="15" customWidth="1"/>
    <col min="6916" max="6919" width="8.88671875" style="15"/>
    <col min="6920" max="6922" width="11.33203125" style="15" customWidth="1"/>
    <col min="6923" max="6984" width="8.88671875" style="15"/>
    <col min="6985" max="6985" width="10.109375" style="15" customWidth="1"/>
    <col min="6986" max="7168" width="8.88671875" style="15"/>
    <col min="7169" max="7169" width="12.5546875" style="15" bestFit="1" customWidth="1"/>
    <col min="7170" max="7170" width="8.88671875" style="15"/>
    <col min="7171" max="7171" width="9.44140625" style="15" customWidth="1"/>
    <col min="7172" max="7175" width="8.88671875" style="15"/>
    <col min="7176" max="7178" width="11.33203125" style="15" customWidth="1"/>
    <col min="7179" max="7240" width="8.88671875" style="15"/>
    <col min="7241" max="7241" width="10.109375" style="15" customWidth="1"/>
    <col min="7242" max="7424" width="8.88671875" style="15"/>
    <col min="7425" max="7425" width="12.5546875" style="15" bestFit="1" customWidth="1"/>
    <col min="7426" max="7426" width="8.88671875" style="15"/>
    <col min="7427" max="7427" width="9.44140625" style="15" customWidth="1"/>
    <col min="7428" max="7431" width="8.88671875" style="15"/>
    <col min="7432" max="7434" width="11.33203125" style="15" customWidth="1"/>
    <col min="7435" max="7496" width="8.88671875" style="15"/>
    <col min="7497" max="7497" width="10.109375" style="15" customWidth="1"/>
    <col min="7498" max="7680" width="8.88671875" style="15"/>
    <col min="7681" max="7681" width="12.5546875" style="15" bestFit="1" customWidth="1"/>
    <col min="7682" max="7682" width="8.88671875" style="15"/>
    <col min="7683" max="7683" width="9.44140625" style="15" customWidth="1"/>
    <col min="7684" max="7687" width="8.88671875" style="15"/>
    <col min="7688" max="7690" width="11.33203125" style="15" customWidth="1"/>
    <col min="7691" max="7752" width="8.88671875" style="15"/>
    <col min="7753" max="7753" width="10.109375" style="15" customWidth="1"/>
    <col min="7754" max="7936" width="8.88671875" style="15"/>
    <col min="7937" max="7937" width="12.5546875" style="15" bestFit="1" customWidth="1"/>
    <col min="7938" max="7938" width="8.88671875" style="15"/>
    <col min="7939" max="7939" width="9.44140625" style="15" customWidth="1"/>
    <col min="7940" max="7943" width="8.88671875" style="15"/>
    <col min="7944" max="7946" width="11.33203125" style="15" customWidth="1"/>
    <col min="7947" max="8008" width="8.88671875" style="15"/>
    <col min="8009" max="8009" width="10.109375" style="15" customWidth="1"/>
    <col min="8010" max="8192" width="8.88671875" style="15"/>
    <col min="8193" max="8193" width="12.5546875" style="15" bestFit="1" customWidth="1"/>
    <col min="8194" max="8194" width="8.88671875" style="15"/>
    <col min="8195" max="8195" width="9.44140625" style="15" customWidth="1"/>
    <col min="8196" max="8199" width="8.88671875" style="15"/>
    <col min="8200" max="8202" width="11.33203125" style="15" customWidth="1"/>
    <col min="8203" max="8264" width="8.88671875" style="15"/>
    <col min="8265" max="8265" width="10.109375" style="15" customWidth="1"/>
    <col min="8266" max="8448" width="8.88671875" style="15"/>
    <col min="8449" max="8449" width="12.5546875" style="15" bestFit="1" customWidth="1"/>
    <col min="8450" max="8450" width="8.88671875" style="15"/>
    <col min="8451" max="8451" width="9.44140625" style="15" customWidth="1"/>
    <col min="8452" max="8455" width="8.88671875" style="15"/>
    <col min="8456" max="8458" width="11.33203125" style="15" customWidth="1"/>
    <col min="8459" max="8520" width="8.88671875" style="15"/>
    <col min="8521" max="8521" width="10.109375" style="15" customWidth="1"/>
    <col min="8522" max="8704" width="8.88671875" style="15"/>
    <col min="8705" max="8705" width="12.5546875" style="15" bestFit="1" customWidth="1"/>
    <col min="8706" max="8706" width="8.88671875" style="15"/>
    <col min="8707" max="8707" width="9.44140625" style="15" customWidth="1"/>
    <col min="8708" max="8711" width="8.88671875" style="15"/>
    <col min="8712" max="8714" width="11.33203125" style="15" customWidth="1"/>
    <col min="8715" max="8776" width="8.88671875" style="15"/>
    <col min="8777" max="8777" width="10.109375" style="15" customWidth="1"/>
    <col min="8778" max="8960" width="8.88671875" style="15"/>
    <col min="8961" max="8961" width="12.5546875" style="15" bestFit="1" customWidth="1"/>
    <col min="8962" max="8962" width="8.88671875" style="15"/>
    <col min="8963" max="8963" width="9.44140625" style="15" customWidth="1"/>
    <col min="8964" max="8967" width="8.88671875" style="15"/>
    <col min="8968" max="8970" width="11.33203125" style="15" customWidth="1"/>
    <col min="8971" max="9032" width="8.88671875" style="15"/>
    <col min="9033" max="9033" width="10.109375" style="15" customWidth="1"/>
    <col min="9034" max="9216" width="8.88671875" style="15"/>
    <col min="9217" max="9217" width="12.5546875" style="15" bestFit="1" customWidth="1"/>
    <col min="9218" max="9218" width="8.88671875" style="15"/>
    <col min="9219" max="9219" width="9.44140625" style="15" customWidth="1"/>
    <col min="9220" max="9223" width="8.88671875" style="15"/>
    <col min="9224" max="9226" width="11.33203125" style="15" customWidth="1"/>
    <col min="9227" max="9288" width="8.88671875" style="15"/>
    <col min="9289" max="9289" width="10.109375" style="15" customWidth="1"/>
    <col min="9290" max="9472" width="8.88671875" style="15"/>
    <col min="9473" max="9473" width="12.5546875" style="15" bestFit="1" customWidth="1"/>
    <col min="9474" max="9474" width="8.88671875" style="15"/>
    <col min="9475" max="9475" width="9.44140625" style="15" customWidth="1"/>
    <col min="9476" max="9479" width="8.88671875" style="15"/>
    <col min="9480" max="9482" width="11.33203125" style="15" customWidth="1"/>
    <col min="9483" max="9544" width="8.88671875" style="15"/>
    <col min="9545" max="9545" width="10.109375" style="15" customWidth="1"/>
    <col min="9546" max="9728" width="8.88671875" style="15"/>
    <col min="9729" max="9729" width="12.5546875" style="15" bestFit="1" customWidth="1"/>
    <col min="9730" max="9730" width="8.88671875" style="15"/>
    <col min="9731" max="9731" width="9.44140625" style="15" customWidth="1"/>
    <col min="9732" max="9735" width="8.88671875" style="15"/>
    <col min="9736" max="9738" width="11.33203125" style="15" customWidth="1"/>
    <col min="9739" max="9800" width="8.88671875" style="15"/>
    <col min="9801" max="9801" width="10.109375" style="15" customWidth="1"/>
    <col min="9802" max="9984" width="8.88671875" style="15"/>
    <col min="9985" max="9985" width="12.5546875" style="15" bestFit="1" customWidth="1"/>
    <col min="9986" max="9986" width="8.88671875" style="15"/>
    <col min="9987" max="9987" width="9.44140625" style="15" customWidth="1"/>
    <col min="9988" max="9991" width="8.88671875" style="15"/>
    <col min="9992" max="9994" width="11.33203125" style="15" customWidth="1"/>
    <col min="9995" max="10056" width="8.88671875" style="15"/>
    <col min="10057" max="10057" width="10.109375" style="15" customWidth="1"/>
    <col min="10058" max="10240" width="8.88671875" style="15"/>
    <col min="10241" max="10241" width="12.5546875" style="15" bestFit="1" customWidth="1"/>
    <col min="10242" max="10242" width="8.88671875" style="15"/>
    <col min="10243" max="10243" width="9.44140625" style="15" customWidth="1"/>
    <col min="10244" max="10247" width="8.88671875" style="15"/>
    <col min="10248" max="10250" width="11.33203125" style="15" customWidth="1"/>
    <col min="10251" max="10312" width="8.88671875" style="15"/>
    <col min="10313" max="10313" width="10.109375" style="15" customWidth="1"/>
    <col min="10314" max="10496" width="8.88671875" style="15"/>
    <col min="10497" max="10497" width="12.5546875" style="15" bestFit="1" customWidth="1"/>
    <col min="10498" max="10498" width="8.88671875" style="15"/>
    <col min="10499" max="10499" width="9.44140625" style="15" customWidth="1"/>
    <col min="10500" max="10503" width="8.88671875" style="15"/>
    <col min="10504" max="10506" width="11.33203125" style="15" customWidth="1"/>
    <col min="10507" max="10568" width="8.88671875" style="15"/>
    <col min="10569" max="10569" width="10.109375" style="15" customWidth="1"/>
    <col min="10570" max="10752" width="8.88671875" style="15"/>
    <col min="10753" max="10753" width="12.5546875" style="15" bestFit="1" customWidth="1"/>
    <col min="10754" max="10754" width="8.88671875" style="15"/>
    <col min="10755" max="10755" width="9.44140625" style="15" customWidth="1"/>
    <col min="10756" max="10759" width="8.88671875" style="15"/>
    <col min="10760" max="10762" width="11.33203125" style="15" customWidth="1"/>
    <col min="10763" max="10824" width="8.88671875" style="15"/>
    <col min="10825" max="10825" width="10.109375" style="15" customWidth="1"/>
    <col min="10826" max="11008" width="8.88671875" style="15"/>
    <col min="11009" max="11009" width="12.5546875" style="15" bestFit="1" customWidth="1"/>
    <col min="11010" max="11010" width="8.88671875" style="15"/>
    <col min="11011" max="11011" width="9.44140625" style="15" customWidth="1"/>
    <col min="11012" max="11015" width="8.88671875" style="15"/>
    <col min="11016" max="11018" width="11.33203125" style="15" customWidth="1"/>
    <col min="11019" max="11080" width="8.88671875" style="15"/>
    <col min="11081" max="11081" width="10.109375" style="15" customWidth="1"/>
    <col min="11082" max="11264" width="8.88671875" style="15"/>
    <col min="11265" max="11265" width="12.5546875" style="15" bestFit="1" customWidth="1"/>
    <col min="11266" max="11266" width="8.88671875" style="15"/>
    <col min="11267" max="11267" width="9.44140625" style="15" customWidth="1"/>
    <col min="11268" max="11271" width="8.88671875" style="15"/>
    <col min="11272" max="11274" width="11.33203125" style="15" customWidth="1"/>
    <col min="11275" max="11336" width="8.88671875" style="15"/>
    <col min="11337" max="11337" width="10.109375" style="15" customWidth="1"/>
    <col min="11338" max="11520" width="8.88671875" style="15"/>
    <col min="11521" max="11521" width="12.5546875" style="15" bestFit="1" customWidth="1"/>
    <col min="11522" max="11522" width="8.88671875" style="15"/>
    <col min="11523" max="11523" width="9.44140625" style="15" customWidth="1"/>
    <col min="11524" max="11527" width="8.88671875" style="15"/>
    <col min="11528" max="11530" width="11.33203125" style="15" customWidth="1"/>
    <col min="11531" max="11592" width="8.88671875" style="15"/>
    <col min="11593" max="11593" width="10.109375" style="15" customWidth="1"/>
    <col min="11594" max="11776" width="8.88671875" style="15"/>
    <col min="11777" max="11777" width="12.5546875" style="15" bestFit="1" customWidth="1"/>
    <col min="11778" max="11778" width="8.88671875" style="15"/>
    <col min="11779" max="11779" width="9.44140625" style="15" customWidth="1"/>
    <col min="11780" max="11783" width="8.88671875" style="15"/>
    <col min="11784" max="11786" width="11.33203125" style="15" customWidth="1"/>
    <col min="11787" max="11848" width="8.88671875" style="15"/>
    <col min="11849" max="11849" width="10.109375" style="15" customWidth="1"/>
    <col min="11850" max="12032" width="8.88671875" style="15"/>
    <col min="12033" max="12033" width="12.5546875" style="15" bestFit="1" customWidth="1"/>
    <col min="12034" max="12034" width="8.88671875" style="15"/>
    <col min="12035" max="12035" width="9.44140625" style="15" customWidth="1"/>
    <col min="12036" max="12039" width="8.88671875" style="15"/>
    <col min="12040" max="12042" width="11.33203125" style="15" customWidth="1"/>
    <col min="12043" max="12104" width="8.88671875" style="15"/>
    <col min="12105" max="12105" width="10.109375" style="15" customWidth="1"/>
    <col min="12106" max="12288" width="8.88671875" style="15"/>
    <col min="12289" max="12289" width="12.5546875" style="15" bestFit="1" customWidth="1"/>
    <col min="12290" max="12290" width="8.88671875" style="15"/>
    <col min="12291" max="12291" width="9.44140625" style="15" customWidth="1"/>
    <col min="12292" max="12295" width="8.88671875" style="15"/>
    <col min="12296" max="12298" width="11.33203125" style="15" customWidth="1"/>
    <col min="12299" max="12360" width="8.88671875" style="15"/>
    <col min="12361" max="12361" width="10.109375" style="15" customWidth="1"/>
    <col min="12362" max="12544" width="8.88671875" style="15"/>
    <col min="12545" max="12545" width="12.5546875" style="15" bestFit="1" customWidth="1"/>
    <col min="12546" max="12546" width="8.88671875" style="15"/>
    <col min="12547" max="12547" width="9.44140625" style="15" customWidth="1"/>
    <col min="12548" max="12551" width="8.88671875" style="15"/>
    <col min="12552" max="12554" width="11.33203125" style="15" customWidth="1"/>
    <col min="12555" max="12616" width="8.88671875" style="15"/>
    <col min="12617" max="12617" width="10.109375" style="15" customWidth="1"/>
    <col min="12618" max="12800" width="8.88671875" style="15"/>
    <col min="12801" max="12801" width="12.5546875" style="15" bestFit="1" customWidth="1"/>
    <col min="12802" max="12802" width="8.88671875" style="15"/>
    <col min="12803" max="12803" width="9.44140625" style="15" customWidth="1"/>
    <col min="12804" max="12807" width="8.88671875" style="15"/>
    <col min="12808" max="12810" width="11.33203125" style="15" customWidth="1"/>
    <col min="12811" max="12872" width="8.88671875" style="15"/>
    <col min="12873" max="12873" width="10.109375" style="15" customWidth="1"/>
    <col min="12874" max="13056" width="8.88671875" style="15"/>
    <col min="13057" max="13057" width="12.5546875" style="15" bestFit="1" customWidth="1"/>
    <col min="13058" max="13058" width="8.88671875" style="15"/>
    <col min="13059" max="13059" width="9.44140625" style="15" customWidth="1"/>
    <col min="13060" max="13063" width="8.88671875" style="15"/>
    <col min="13064" max="13066" width="11.33203125" style="15" customWidth="1"/>
    <col min="13067" max="13128" width="8.88671875" style="15"/>
    <col min="13129" max="13129" width="10.109375" style="15" customWidth="1"/>
    <col min="13130" max="13312" width="8.88671875" style="15"/>
    <col min="13313" max="13313" width="12.5546875" style="15" bestFit="1" customWidth="1"/>
    <col min="13314" max="13314" width="8.88671875" style="15"/>
    <col min="13315" max="13315" width="9.44140625" style="15" customWidth="1"/>
    <col min="13316" max="13319" width="8.88671875" style="15"/>
    <col min="13320" max="13322" width="11.33203125" style="15" customWidth="1"/>
    <col min="13323" max="13384" width="8.88671875" style="15"/>
    <col min="13385" max="13385" width="10.109375" style="15" customWidth="1"/>
    <col min="13386" max="13568" width="8.88671875" style="15"/>
    <col min="13569" max="13569" width="12.5546875" style="15" bestFit="1" customWidth="1"/>
    <col min="13570" max="13570" width="8.88671875" style="15"/>
    <col min="13571" max="13571" width="9.44140625" style="15" customWidth="1"/>
    <col min="13572" max="13575" width="8.88671875" style="15"/>
    <col min="13576" max="13578" width="11.33203125" style="15" customWidth="1"/>
    <col min="13579" max="13640" width="8.88671875" style="15"/>
    <col min="13641" max="13641" width="10.109375" style="15" customWidth="1"/>
    <col min="13642" max="13824" width="8.88671875" style="15"/>
    <col min="13825" max="13825" width="12.5546875" style="15" bestFit="1" customWidth="1"/>
    <col min="13826" max="13826" width="8.88671875" style="15"/>
    <col min="13827" max="13827" width="9.44140625" style="15" customWidth="1"/>
    <col min="13828" max="13831" width="8.88671875" style="15"/>
    <col min="13832" max="13834" width="11.33203125" style="15" customWidth="1"/>
    <col min="13835" max="13896" width="8.88671875" style="15"/>
    <col min="13897" max="13897" width="10.109375" style="15" customWidth="1"/>
    <col min="13898" max="14080" width="8.88671875" style="15"/>
    <col min="14081" max="14081" width="12.5546875" style="15" bestFit="1" customWidth="1"/>
    <col min="14082" max="14082" width="8.88671875" style="15"/>
    <col min="14083" max="14083" width="9.44140625" style="15" customWidth="1"/>
    <col min="14084" max="14087" width="8.88671875" style="15"/>
    <col min="14088" max="14090" width="11.33203125" style="15" customWidth="1"/>
    <col min="14091" max="14152" width="8.88671875" style="15"/>
    <col min="14153" max="14153" width="10.109375" style="15" customWidth="1"/>
    <col min="14154" max="14336" width="8.88671875" style="15"/>
    <col min="14337" max="14337" width="12.5546875" style="15" bestFit="1" customWidth="1"/>
    <col min="14338" max="14338" width="8.88671875" style="15"/>
    <col min="14339" max="14339" width="9.44140625" style="15" customWidth="1"/>
    <col min="14340" max="14343" width="8.88671875" style="15"/>
    <col min="14344" max="14346" width="11.33203125" style="15" customWidth="1"/>
    <col min="14347" max="14408" width="8.88671875" style="15"/>
    <col min="14409" max="14409" width="10.109375" style="15" customWidth="1"/>
    <col min="14410" max="14592" width="8.88671875" style="15"/>
    <col min="14593" max="14593" width="12.5546875" style="15" bestFit="1" customWidth="1"/>
    <col min="14594" max="14594" width="8.88671875" style="15"/>
    <col min="14595" max="14595" width="9.44140625" style="15" customWidth="1"/>
    <col min="14596" max="14599" width="8.88671875" style="15"/>
    <col min="14600" max="14602" width="11.33203125" style="15" customWidth="1"/>
    <col min="14603" max="14664" width="8.88671875" style="15"/>
    <col min="14665" max="14665" width="10.109375" style="15" customWidth="1"/>
    <col min="14666" max="14848" width="8.88671875" style="15"/>
    <col min="14849" max="14849" width="12.5546875" style="15" bestFit="1" customWidth="1"/>
    <col min="14850" max="14850" width="8.88671875" style="15"/>
    <col min="14851" max="14851" width="9.44140625" style="15" customWidth="1"/>
    <col min="14852" max="14855" width="8.88671875" style="15"/>
    <col min="14856" max="14858" width="11.33203125" style="15" customWidth="1"/>
    <col min="14859" max="14920" width="8.88671875" style="15"/>
    <col min="14921" max="14921" width="10.109375" style="15" customWidth="1"/>
    <col min="14922" max="15104" width="8.88671875" style="15"/>
    <col min="15105" max="15105" width="12.5546875" style="15" bestFit="1" customWidth="1"/>
    <col min="15106" max="15106" width="8.88671875" style="15"/>
    <col min="15107" max="15107" width="9.44140625" style="15" customWidth="1"/>
    <col min="15108" max="15111" width="8.88671875" style="15"/>
    <col min="15112" max="15114" width="11.33203125" style="15" customWidth="1"/>
    <col min="15115" max="15176" width="8.88671875" style="15"/>
    <col min="15177" max="15177" width="10.109375" style="15" customWidth="1"/>
    <col min="15178" max="15360" width="8.88671875" style="15"/>
    <col min="15361" max="15361" width="12.5546875" style="15" bestFit="1" customWidth="1"/>
    <col min="15362" max="15362" width="8.88671875" style="15"/>
    <col min="15363" max="15363" width="9.44140625" style="15" customWidth="1"/>
    <col min="15364" max="15367" width="8.88671875" style="15"/>
    <col min="15368" max="15370" width="11.33203125" style="15" customWidth="1"/>
    <col min="15371" max="15432" width="8.88671875" style="15"/>
    <col min="15433" max="15433" width="10.109375" style="15" customWidth="1"/>
    <col min="15434" max="15616" width="8.88671875" style="15"/>
    <col min="15617" max="15617" width="12.5546875" style="15" bestFit="1" customWidth="1"/>
    <col min="15618" max="15618" width="8.88671875" style="15"/>
    <col min="15619" max="15619" width="9.44140625" style="15" customWidth="1"/>
    <col min="15620" max="15623" width="8.88671875" style="15"/>
    <col min="15624" max="15626" width="11.33203125" style="15" customWidth="1"/>
    <col min="15627" max="15688" width="8.88671875" style="15"/>
    <col min="15689" max="15689" width="10.109375" style="15" customWidth="1"/>
    <col min="15690" max="15872" width="8.88671875" style="15"/>
    <col min="15873" max="15873" width="12.5546875" style="15" bestFit="1" customWidth="1"/>
    <col min="15874" max="15874" width="8.88671875" style="15"/>
    <col min="15875" max="15875" width="9.44140625" style="15" customWidth="1"/>
    <col min="15876" max="15879" width="8.88671875" style="15"/>
    <col min="15880" max="15882" width="11.33203125" style="15" customWidth="1"/>
    <col min="15883" max="15944" width="8.88671875" style="15"/>
    <col min="15945" max="15945" width="10.109375" style="15" customWidth="1"/>
    <col min="15946" max="16128" width="8.88671875" style="15"/>
    <col min="16129" max="16129" width="12.5546875" style="15" bestFit="1" customWidth="1"/>
    <col min="16130" max="16130" width="8.88671875" style="15"/>
    <col min="16131" max="16131" width="9.44140625" style="15" customWidth="1"/>
    <col min="16132" max="16135" width="8.88671875" style="15"/>
    <col min="16136" max="16138" width="11.33203125" style="15" customWidth="1"/>
    <col min="16139" max="16200" width="8.88671875" style="15"/>
    <col min="16201" max="16201" width="10.109375" style="15" customWidth="1"/>
    <col min="16202" max="16384" width="8.88671875" style="15"/>
  </cols>
  <sheetData>
    <row r="1" spans="1:46">
      <c r="A1" s="15" t="s">
        <v>55</v>
      </c>
    </row>
    <row r="2" spans="1:46">
      <c r="A2" s="15" t="s">
        <v>56</v>
      </c>
      <c r="B2" s="17">
        <v>0.08</v>
      </c>
      <c r="E2" s="27" t="s">
        <v>57</v>
      </c>
      <c r="F2" s="17">
        <f>SUM(F6:F35)</f>
        <v>0.15551292492503763</v>
      </c>
      <c r="I2" s="27" t="s">
        <v>58</v>
      </c>
      <c r="J2" s="45">
        <f>SUM(J6:J35)</f>
        <v>1.2347029912617468E-2</v>
      </c>
      <c r="K2" s="46"/>
    </row>
    <row r="3" spans="1:46">
      <c r="A3" s="15" t="s">
        <v>25</v>
      </c>
      <c r="B3" s="17">
        <f>B2-J2</f>
        <v>6.7652970087382538E-2</v>
      </c>
      <c r="C3" s="17">
        <f>(1-F2)*B2+SUM(AR5:AR35)</f>
        <v>6.7652970087382538E-2</v>
      </c>
      <c r="E3" s="27" t="s">
        <v>28</v>
      </c>
      <c r="F3" s="27" t="s">
        <v>29</v>
      </c>
      <c r="G3" s="27" t="s">
        <v>30</v>
      </c>
      <c r="H3" s="27"/>
      <c r="I3" s="27"/>
      <c r="J3" s="27"/>
      <c r="K3" s="46"/>
      <c r="N3" s="46" t="s">
        <v>31</v>
      </c>
      <c r="AT3" s="23"/>
    </row>
    <row r="4" spans="1:46">
      <c r="A4" s="15" t="s">
        <v>33</v>
      </c>
      <c r="B4" s="27" t="s">
        <v>34</v>
      </c>
      <c r="C4" s="27" t="s">
        <v>35</v>
      </c>
      <c r="D4" s="27" t="s">
        <v>36</v>
      </c>
      <c r="E4" s="27" t="s">
        <v>37</v>
      </c>
      <c r="F4" s="27" t="s">
        <v>37</v>
      </c>
      <c r="G4" s="27" t="s">
        <v>39</v>
      </c>
      <c r="H4" s="27" t="s">
        <v>59</v>
      </c>
      <c r="I4" s="27" t="s">
        <v>60</v>
      </c>
      <c r="J4" s="47" t="s">
        <v>61</v>
      </c>
      <c r="K4" s="48" t="s">
        <v>40</v>
      </c>
      <c r="L4" s="27" t="s">
        <v>42</v>
      </c>
      <c r="M4" s="15" t="s">
        <v>43</v>
      </c>
      <c r="N4" s="46">
        <v>1</v>
      </c>
      <c r="O4" s="15">
        <v>2</v>
      </c>
      <c r="P4" s="15">
        <f>1+O4</f>
        <v>3</v>
      </c>
      <c r="Q4" s="15">
        <f t="shared" ref="Q4:AP4" si="0">1+P4</f>
        <v>4</v>
      </c>
      <c r="R4" s="15">
        <f t="shared" si="0"/>
        <v>5</v>
      </c>
      <c r="S4" s="15">
        <f t="shared" si="0"/>
        <v>6</v>
      </c>
      <c r="T4" s="15">
        <f t="shared" si="0"/>
        <v>7</v>
      </c>
      <c r="U4" s="15">
        <f t="shared" si="0"/>
        <v>8</v>
      </c>
      <c r="V4" s="15">
        <f t="shared" si="0"/>
        <v>9</v>
      </c>
      <c r="W4" s="15">
        <f t="shared" si="0"/>
        <v>10</v>
      </c>
      <c r="X4" s="15">
        <f t="shared" si="0"/>
        <v>11</v>
      </c>
      <c r="Y4" s="15">
        <f t="shared" si="0"/>
        <v>12</v>
      </c>
      <c r="Z4" s="15">
        <f t="shared" si="0"/>
        <v>13</v>
      </c>
      <c r="AA4" s="15">
        <f t="shared" si="0"/>
        <v>14</v>
      </c>
      <c r="AB4" s="15">
        <f t="shared" si="0"/>
        <v>15</v>
      </c>
      <c r="AC4" s="15">
        <f t="shared" si="0"/>
        <v>16</v>
      </c>
      <c r="AD4" s="15">
        <f t="shared" si="0"/>
        <v>17</v>
      </c>
      <c r="AE4" s="15">
        <f t="shared" si="0"/>
        <v>18</v>
      </c>
      <c r="AF4" s="15">
        <f t="shared" si="0"/>
        <v>19</v>
      </c>
      <c r="AG4" s="15">
        <f t="shared" si="0"/>
        <v>20</v>
      </c>
      <c r="AH4" s="15">
        <f t="shared" si="0"/>
        <v>21</v>
      </c>
      <c r="AI4" s="15">
        <f t="shared" si="0"/>
        <v>22</v>
      </c>
      <c r="AJ4" s="15">
        <f t="shared" si="0"/>
        <v>23</v>
      </c>
      <c r="AK4" s="15">
        <f t="shared" si="0"/>
        <v>24</v>
      </c>
      <c r="AL4" s="15">
        <f t="shared" si="0"/>
        <v>25</v>
      </c>
      <c r="AM4" s="15">
        <f t="shared" si="0"/>
        <v>26</v>
      </c>
      <c r="AN4" s="15">
        <f t="shared" si="0"/>
        <v>27</v>
      </c>
      <c r="AO4" s="15">
        <f t="shared" si="0"/>
        <v>28</v>
      </c>
      <c r="AP4" s="15">
        <f t="shared" si="0"/>
        <v>29</v>
      </c>
      <c r="AQ4" s="15">
        <f>1+AP4</f>
        <v>30</v>
      </c>
      <c r="AR4" s="46"/>
      <c r="AT4" s="23"/>
    </row>
    <row r="5" spans="1:46">
      <c r="A5" s="15">
        <v>0</v>
      </c>
      <c r="K5" s="49">
        <f>-100</f>
        <v>-100</v>
      </c>
      <c r="N5" s="49">
        <f>K5</f>
        <v>-100</v>
      </c>
      <c r="O5" s="23">
        <f>K5</f>
        <v>-100</v>
      </c>
      <c r="P5" s="23">
        <f>$K5</f>
        <v>-100</v>
      </c>
      <c r="Q5" s="23">
        <f t="shared" ref="Q5:AQ5" si="1">$K5</f>
        <v>-100</v>
      </c>
      <c r="R5" s="23">
        <f t="shared" si="1"/>
        <v>-100</v>
      </c>
      <c r="S5" s="23">
        <f t="shared" si="1"/>
        <v>-100</v>
      </c>
      <c r="T5" s="23">
        <f t="shared" si="1"/>
        <v>-100</v>
      </c>
      <c r="U5" s="23">
        <f t="shared" si="1"/>
        <v>-100</v>
      </c>
      <c r="V5" s="23">
        <f t="shared" si="1"/>
        <v>-100</v>
      </c>
      <c r="W5" s="23">
        <f t="shared" si="1"/>
        <v>-100</v>
      </c>
      <c r="X5" s="23">
        <f t="shared" si="1"/>
        <v>-100</v>
      </c>
      <c r="Y5" s="23">
        <f t="shared" si="1"/>
        <v>-100</v>
      </c>
      <c r="Z5" s="23">
        <f t="shared" si="1"/>
        <v>-100</v>
      </c>
      <c r="AA5" s="23">
        <f t="shared" si="1"/>
        <v>-100</v>
      </c>
      <c r="AB5" s="23">
        <f t="shared" si="1"/>
        <v>-100</v>
      </c>
      <c r="AC5" s="23">
        <f t="shared" si="1"/>
        <v>-100</v>
      </c>
      <c r="AD5" s="23">
        <f t="shared" si="1"/>
        <v>-100</v>
      </c>
      <c r="AE5" s="23">
        <f t="shared" si="1"/>
        <v>-100</v>
      </c>
      <c r="AF5" s="23">
        <f t="shared" si="1"/>
        <v>-100</v>
      </c>
      <c r="AG5" s="23">
        <f t="shared" si="1"/>
        <v>-100</v>
      </c>
      <c r="AH5" s="23">
        <f t="shared" si="1"/>
        <v>-100</v>
      </c>
      <c r="AI5" s="23">
        <f t="shared" si="1"/>
        <v>-100</v>
      </c>
      <c r="AJ5" s="23">
        <f t="shared" si="1"/>
        <v>-100</v>
      </c>
      <c r="AK5" s="23">
        <f t="shared" si="1"/>
        <v>-100</v>
      </c>
      <c r="AL5" s="23">
        <f t="shared" si="1"/>
        <v>-100</v>
      </c>
      <c r="AM5" s="23">
        <f t="shared" si="1"/>
        <v>-100</v>
      </c>
      <c r="AN5" s="23">
        <f t="shared" si="1"/>
        <v>-100</v>
      </c>
      <c r="AO5" s="23">
        <f t="shared" si="1"/>
        <v>-100</v>
      </c>
      <c r="AP5" s="23">
        <f t="shared" si="1"/>
        <v>-100</v>
      </c>
      <c r="AQ5" s="23">
        <f t="shared" si="1"/>
        <v>-100</v>
      </c>
      <c r="AR5" s="50">
        <f>F6*H6</f>
        <v>-4.4879999999999969E-4</v>
      </c>
      <c r="AT5" s="23"/>
    </row>
    <row r="6" spans="1:46">
      <c r="A6" s="15">
        <f>1+A5</f>
        <v>1</v>
      </c>
      <c r="B6" s="41">
        <f>'[2]Esaki Haz Calcs'!B6</f>
        <v>3.3E-3</v>
      </c>
      <c r="C6" s="41">
        <f>1-B6</f>
        <v>0.99670000000000003</v>
      </c>
      <c r="D6" s="41">
        <f>C6</f>
        <v>0.99670000000000003</v>
      </c>
      <c r="E6" s="41">
        <f>1-D6</f>
        <v>3.2999999999999696E-3</v>
      </c>
      <c r="F6" s="41">
        <f>B6</f>
        <v>3.3E-3</v>
      </c>
      <c r="G6" s="51">
        <f>0.8</f>
        <v>0.8</v>
      </c>
      <c r="H6" s="17">
        <f>HLOOKUP(A6,N$4:AQ$36,33)</f>
        <v>-0.1359999999999999</v>
      </c>
      <c r="I6" s="17">
        <f>B$2-H6</f>
        <v>0.21599999999999991</v>
      </c>
      <c r="J6" s="17">
        <f>F6*I6</f>
        <v>7.1279999999999976E-4</v>
      </c>
      <c r="K6" s="49">
        <f t="shared" ref="K6:K34" si="2">-B$2*K$5</f>
        <v>8</v>
      </c>
      <c r="L6" s="23">
        <v>100</v>
      </c>
      <c r="M6" s="23">
        <v>108</v>
      </c>
      <c r="N6" s="52">
        <f t="shared" ref="N6:AC21" si="3">IF($A6&gt;N$4,0,IF($A6&lt;N$4,$K6,$M6*$G6))</f>
        <v>86.4</v>
      </c>
      <c r="O6" s="53">
        <f t="shared" si="3"/>
        <v>8</v>
      </c>
      <c r="P6" s="53">
        <f t="shared" si="3"/>
        <v>8</v>
      </c>
      <c r="Q6" s="53">
        <f t="shared" si="3"/>
        <v>8</v>
      </c>
      <c r="R6" s="53">
        <f t="shared" si="3"/>
        <v>8</v>
      </c>
      <c r="S6" s="53">
        <f t="shared" si="3"/>
        <v>8</v>
      </c>
      <c r="T6" s="53">
        <f t="shared" si="3"/>
        <v>8</v>
      </c>
      <c r="U6" s="53">
        <f t="shared" si="3"/>
        <v>8</v>
      </c>
      <c r="V6" s="53">
        <f t="shared" si="3"/>
        <v>8</v>
      </c>
      <c r="W6" s="53">
        <f t="shared" si="3"/>
        <v>8</v>
      </c>
      <c r="X6" s="53">
        <f t="shared" si="3"/>
        <v>8</v>
      </c>
      <c r="Y6" s="53">
        <f t="shared" si="3"/>
        <v>8</v>
      </c>
      <c r="Z6" s="53">
        <f t="shared" si="3"/>
        <v>8</v>
      </c>
      <c r="AA6" s="53">
        <f t="shared" si="3"/>
        <v>8</v>
      </c>
      <c r="AB6" s="53">
        <f t="shared" si="3"/>
        <v>8</v>
      </c>
      <c r="AC6" s="53">
        <f t="shared" si="3"/>
        <v>8</v>
      </c>
      <c r="AD6" s="53">
        <f t="shared" ref="AD6:AQ21" si="4">IF($A6&gt;AD$4,0,IF($A6&lt;AD$4,$K6,$M6*$G6))</f>
        <v>8</v>
      </c>
      <c r="AE6" s="53">
        <f t="shared" si="4"/>
        <v>8</v>
      </c>
      <c r="AF6" s="53">
        <f t="shared" si="4"/>
        <v>8</v>
      </c>
      <c r="AG6" s="53">
        <f t="shared" si="4"/>
        <v>8</v>
      </c>
      <c r="AH6" s="53">
        <f t="shared" si="4"/>
        <v>8</v>
      </c>
      <c r="AI6" s="53">
        <f t="shared" si="4"/>
        <v>8</v>
      </c>
      <c r="AJ6" s="53">
        <f t="shared" si="4"/>
        <v>8</v>
      </c>
      <c r="AK6" s="53">
        <f t="shared" si="4"/>
        <v>8</v>
      </c>
      <c r="AL6" s="53">
        <f t="shared" si="4"/>
        <v>8</v>
      </c>
      <c r="AM6" s="53">
        <f t="shared" si="4"/>
        <v>8</v>
      </c>
      <c r="AN6" s="53">
        <f t="shared" si="4"/>
        <v>8</v>
      </c>
      <c r="AO6" s="53">
        <f t="shared" si="4"/>
        <v>8</v>
      </c>
      <c r="AP6" s="53">
        <f t="shared" si="4"/>
        <v>8</v>
      </c>
      <c r="AQ6" s="53">
        <f t="shared" si="4"/>
        <v>8</v>
      </c>
      <c r="AR6" s="50">
        <f t="shared" ref="AR6:AR35" si="5">F7*H7</f>
        <v>-1.0626952446575878E-3</v>
      </c>
      <c r="AT6" s="23"/>
    </row>
    <row r="7" spans="1:46">
      <c r="A7" s="15">
        <f>1+A6</f>
        <v>2</v>
      </c>
      <c r="B7" s="41">
        <f>'[2]Esaki Haz Calcs'!B7</f>
        <v>1.1900000000000001E-2</v>
      </c>
      <c r="C7" s="41">
        <f>1-B7</f>
        <v>0.98809999999999998</v>
      </c>
      <c r="D7" s="41">
        <f>C7*D6</f>
        <v>0.98483927000000004</v>
      </c>
      <c r="E7" s="41">
        <f>1-D7</f>
        <v>1.5160729999999956E-2</v>
      </c>
      <c r="F7" s="41">
        <f>B7*D6</f>
        <v>1.1860730000000002E-2</v>
      </c>
      <c r="G7" s="51">
        <f>0.7</f>
        <v>0.7</v>
      </c>
      <c r="H7" s="17">
        <f t="shared" ref="H7:H35" si="6">HLOOKUP(A7,N$4:AQ$36,33)</f>
        <v>-8.9597794120394592E-2</v>
      </c>
      <c r="I7" s="17">
        <f t="shared" ref="I7:I35" si="7">B$2-H7</f>
        <v>0.16959779412039461</v>
      </c>
      <c r="J7" s="17">
        <f t="shared" ref="J7:J35" si="8">F7*I7</f>
        <v>2.0115536446575883E-3</v>
      </c>
      <c r="K7" s="49">
        <f t="shared" si="2"/>
        <v>8</v>
      </c>
      <c r="L7" s="23">
        <v>100</v>
      </c>
      <c r="M7" s="23">
        <v>108</v>
      </c>
      <c r="N7" s="52">
        <f t="shared" si="3"/>
        <v>0</v>
      </c>
      <c r="O7" s="53">
        <f t="shared" si="3"/>
        <v>75.599999999999994</v>
      </c>
      <c r="P7" s="53">
        <f t="shared" si="3"/>
        <v>8</v>
      </c>
      <c r="Q7" s="53">
        <f t="shared" si="3"/>
        <v>8</v>
      </c>
      <c r="R7" s="53">
        <f t="shared" si="3"/>
        <v>8</v>
      </c>
      <c r="S7" s="53">
        <f t="shared" si="3"/>
        <v>8</v>
      </c>
      <c r="T7" s="53">
        <f t="shared" si="3"/>
        <v>8</v>
      </c>
      <c r="U7" s="53">
        <f t="shared" si="3"/>
        <v>8</v>
      </c>
      <c r="V7" s="53">
        <f t="shared" si="3"/>
        <v>8</v>
      </c>
      <c r="W7" s="53">
        <f t="shared" si="3"/>
        <v>8</v>
      </c>
      <c r="X7" s="53">
        <f t="shared" si="3"/>
        <v>8</v>
      </c>
      <c r="Y7" s="53">
        <f t="shared" si="3"/>
        <v>8</v>
      </c>
      <c r="Z7" s="53">
        <f t="shared" si="3"/>
        <v>8</v>
      </c>
      <c r="AA7" s="53">
        <f t="shared" si="3"/>
        <v>8</v>
      </c>
      <c r="AB7" s="53">
        <f t="shared" si="3"/>
        <v>8</v>
      </c>
      <c r="AC7" s="53">
        <f t="shared" si="3"/>
        <v>8</v>
      </c>
      <c r="AD7" s="53">
        <f t="shared" si="4"/>
        <v>8</v>
      </c>
      <c r="AE7" s="53">
        <f t="shared" si="4"/>
        <v>8</v>
      </c>
      <c r="AF7" s="53">
        <f t="shared" si="4"/>
        <v>8</v>
      </c>
      <c r="AG7" s="53">
        <f t="shared" si="4"/>
        <v>8</v>
      </c>
      <c r="AH7" s="53">
        <f t="shared" si="4"/>
        <v>8</v>
      </c>
      <c r="AI7" s="53">
        <f t="shared" si="4"/>
        <v>8</v>
      </c>
      <c r="AJ7" s="53">
        <f t="shared" si="4"/>
        <v>8</v>
      </c>
      <c r="AK7" s="53">
        <f t="shared" si="4"/>
        <v>8</v>
      </c>
      <c r="AL7" s="53">
        <f t="shared" si="4"/>
        <v>8</v>
      </c>
      <c r="AM7" s="53">
        <f t="shared" si="4"/>
        <v>8</v>
      </c>
      <c r="AN7" s="53">
        <f t="shared" si="4"/>
        <v>8</v>
      </c>
      <c r="AO7" s="53">
        <f t="shared" si="4"/>
        <v>8</v>
      </c>
      <c r="AP7" s="53">
        <f t="shared" si="4"/>
        <v>8</v>
      </c>
      <c r="AQ7" s="53">
        <f t="shared" si="4"/>
        <v>8</v>
      </c>
      <c r="AR7" s="50">
        <f t="shared" si="5"/>
        <v>-1.2182829207010696E-3</v>
      </c>
      <c r="AT7" s="23"/>
    </row>
    <row r="8" spans="1:46">
      <c r="A8" s="15">
        <f>1+A7</f>
        <v>3</v>
      </c>
      <c r="B8" s="41">
        <f>'[2]Esaki Haz Calcs'!B8</f>
        <v>1.6400000000000001E-2</v>
      </c>
      <c r="C8" s="41">
        <f>1-B8</f>
        <v>0.98360000000000003</v>
      </c>
      <c r="D8" s="41">
        <f>C8*D7</f>
        <v>0.96868790597200005</v>
      </c>
      <c r="E8" s="41">
        <f>1-D8</f>
        <v>3.1312094027999948E-2</v>
      </c>
      <c r="F8" s="41">
        <f>B8*D7</f>
        <v>1.6151364028000003E-2</v>
      </c>
      <c r="G8" s="51">
        <f>0.6</f>
        <v>0.6</v>
      </c>
      <c r="H8" s="17">
        <f t="shared" si="6"/>
        <v>-7.542910422853788E-2</v>
      </c>
      <c r="I8" s="17">
        <f t="shared" si="7"/>
        <v>0.1554291042285379</v>
      </c>
      <c r="J8" s="17">
        <f t="shared" si="8"/>
        <v>2.5103920429410701E-3</v>
      </c>
      <c r="K8" s="49">
        <f t="shared" si="2"/>
        <v>8</v>
      </c>
      <c r="L8" s="23">
        <v>100</v>
      </c>
      <c r="M8" s="23">
        <v>108</v>
      </c>
      <c r="N8" s="52">
        <f t="shared" si="3"/>
        <v>0</v>
      </c>
      <c r="O8" s="53">
        <f t="shared" si="3"/>
        <v>0</v>
      </c>
      <c r="P8" s="53">
        <f t="shared" si="3"/>
        <v>64.8</v>
      </c>
      <c r="Q8" s="53">
        <f t="shared" si="3"/>
        <v>8</v>
      </c>
      <c r="R8" s="53">
        <f t="shared" si="3"/>
        <v>8</v>
      </c>
      <c r="S8" s="53">
        <f t="shared" si="3"/>
        <v>8</v>
      </c>
      <c r="T8" s="53">
        <f t="shared" si="3"/>
        <v>8</v>
      </c>
      <c r="U8" s="53">
        <f t="shared" si="3"/>
        <v>8</v>
      </c>
      <c r="V8" s="53">
        <f t="shared" si="3"/>
        <v>8</v>
      </c>
      <c r="W8" s="53">
        <f t="shared" si="3"/>
        <v>8</v>
      </c>
      <c r="X8" s="53">
        <f t="shared" si="3"/>
        <v>8</v>
      </c>
      <c r="Y8" s="53">
        <f t="shared" si="3"/>
        <v>8</v>
      </c>
      <c r="Z8" s="53">
        <f t="shared" si="3"/>
        <v>8</v>
      </c>
      <c r="AA8" s="53">
        <f t="shared" si="3"/>
        <v>8</v>
      </c>
      <c r="AB8" s="53">
        <f t="shared" si="3"/>
        <v>8</v>
      </c>
      <c r="AC8" s="53">
        <f t="shared" si="3"/>
        <v>8</v>
      </c>
      <c r="AD8" s="53">
        <f t="shared" si="4"/>
        <v>8</v>
      </c>
      <c r="AE8" s="53">
        <f t="shared" si="4"/>
        <v>8</v>
      </c>
      <c r="AF8" s="53">
        <f t="shared" si="4"/>
        <v>8</v>
      </c>
      <c r="AG8" s="53">
        <f t="shared" si="4"/>
        <v>8</v>
      </c>
      <c r="AH8" s="53">
        <f t="shared" si="4"/>
        <v>8</v>
      </c>
      <c r="AI8" s="53">
        <f t="shared" si="4"/>
        <v>8</v>
      </c>
      <c r="AJ8" s="53">
        <f t="shared" si="4"/>
        <v>8</v>
      </c>
      <c r="AK8" s="53">
        <f t="shared" si="4"/>
        <v>8</v>
      </c>
      <c r="AL8" s="53">
        <f t="shared" si="4"/>
        <v>8</v>
      </c>
      <c r="AM8" s="53">
        <f t="shared" si="4"/>
        <v>8</v>
      </c>
      <c r="AN8" s="53">
        <f t="shared" si="4"/>
        <v>8</v>
      </c>
      <c r="AO8" s="53">
        <f t="shared" si="4"/>
        <v>8</v>
      </c>
      <c r="AP8" s="53">
        <f t="shared" si="4"/>
        <v>8</v>
      </c>
      <c r="AQ8" s="53">
        <f t="shared" si="4"/>
        <v>8</v>
      </c>
      <c r="AR8" s="50">
        <f t="shared" si="5"/>
        <v>-5.5653289667051127E-4</v>
      </c>
      <c r="AT8" s="23"/>
    </row>
    <row r="9" spans="1:46">
      <c r="A9" s="15">
        <f t="shared" ref="A9:A35" si="9">1+A8</f>
        <v>4</v>
      </c>
      <c r="B9" s="41">
        <f>'[2]Esaki Haz Calcs'!B9</f>
        <v>1.7100000000000001E-2</v>
      </c>
      <c r="C9" s="41">
        <f t="shared" ref="C9:C35" si="10">1-B9</f>
        <v>0.9829</v>
      </c>
      <c r="D9" s="41">
        <f t="shared" ref="D9:D33" si="11">C9*D8</f>
        <v>0.95212334277987887</v>
      </c>
      <c r="E9" s="41">
        <f t="shared" ref="E9:E35" si="12">1-D9</f>
        <v>4.7876657220121133E-2</v>
      </c>
      <c r="F9" s="41">
        <f t="shared" ref="F9:F33" si="13">B9*D8</f>
        <v>1.6564563192121202E-2</v>
      </c>
      <c r="G9" s="51">
        <f t="shared" ref="G9:G35" si="14">0.6</f>
        <v>0.6</v>
      </c>
      <c r="H9" s="17">
        <f t="shared" si="6"/>
        <v>-3.3597800932971267E-2</v>
      </c>
      <c r="I9" s="17">
        <f t="shared" si="7"/>
        <v>0.11359780093297127</v>
      </c>
      <c r="J9" s="17">
        <f t="shared" si="8"/>
        <v>1.8816979520402074E-3</v>
      </c>
      <c r="K9" s="49">
        <f t="shared" si="2"/>
        <v>8</v>
      </c>
      <c r="L9" s="23">
        <v>100</v>
      </c>
      <c r="M9" s="23">
        <v>108</v>
      </c>
      <c r="N9" s="52">
        <f t="shared" si="3"/>
        <v>0</v>
      </c>
      <c r="O9" s="53">
        <f t="shared" si="3"/>
        <v>0</v>
      </c>
      <c r="P9" s="53">
        <f t="shared" si="3"/>
        <v>0</v>
      </c>
      <c r="Q9" s="53">
        <f t="shared" si="3"/>
        <v>64.8</v>
      </c>
      <c r="R9" s="53">
        <f t="shared" si="3"/>
        <v>8</v>
      </c>
      <c r="S9" s="53">
        <f t="shared" si="3"/>
        <v>8</v>
      </c>
      <c r="T9" s="53">
        <f t="shared" si="3"/>
        <v>8</v>
      </c>
      <c r="U9" s="53">
        <f t="shared" si="3"/>
        <v>8</v>
      </c>
      <c r="V9" s="53">
        <f t="shared" si="3"/>
        <v>8</v>
      </c>
      <c r="W9" s="53">
        <f t="shared" si="3"/>
        <v>8</v>
      </c>
      <c r="X9" s="53">
        <f t="shared" si="3"/>
        <v>8</v>
      </c>
      <c r="Y9" s="53">
        <f t="shared" si="3"/>
        <v>8</v>
      </c>
      <c r="Z9" s="53">
        <f t="shared" si="3"/>
        <v>8</v>
      </c>
      <c r="AA9" s="53">
        <f t="shared" si="3"/>
        <v>8</v>
      </c>
      <c r="AB9" s="53">
        <f t="shared" si="3"/>
        <v>8</v>
      </c>
      <c r="AC9" s="53">
        <f t="shared" si="3"/>
        <v>8</v>
      </c>
      <c r="AD9" s="53">
        <f t="shared" si="4"/>
        <v>8</v>
      </c>
      <c r="AE9" s="53">
        <f t="shared" si="4"/>
        <v>8</v>
      </c>
      <c r="AF9" s="53">
        <f t="shared" si="4"/>
        <v>8</v>
      </c>
      <c r="AG9" s="53">
        <f t="shared" si="4"/>
        <v>8</v>
      </c>
      <c r="AH9" s="53">
        <f t="shared" si="4"/>
        <v>8</v>
      </c>
      <c r="AI9" s="53">
        <f t="shared" si="4"/>
        <v>8</v>
      </c>
      <c r="AJ9" s="53">
        <f t="shared" si="4"/>
        <v>8</v>
      </c>
      <c r="AK9" s="53">
        <f t="shared" si="4"/>
        <v>8</v>
      </c>
      <c r="AL9" s="53">
        <f t="shared" si="4"/>
        <v>8</v>
      </c>
      <c r="AM9" s="53">
        <f t="shared" si="4"/>
        <v>8</v>
      </c>
      <c r="AN9" s="53">
        <f t="shared" si="4"/>
        <v>8</v>
      </c>
      <c r="AO9" s="53">
        <f t="shared" si="4"/>
        <v>8</v>
      </c>
      <c r="AP9" s="53">
        <f t="shared" si="4"/>
        <v>8</v>
      </c>
      <c r="AQ9" s="53">
        <f t="shared" si="4"/>
        <v>8</v>
      </c>
      <c r="AR9" s="50">
        <f t="shared" si="5"/>
        <v>-1.2322121522410353E-4</v>
      </c>
    </row>
    <row r="10" spans="1:46">
      <c r="A10" s="15">
        <f t="shared" si="9"/>
        <v>5</v>
      </c>
      <c r="B10" s="41">
        <f>'[2]Esaki Haz Calcs'!B10</f>
        <v>1.67E-2</v>
      </c>
      <c r="C10" s="41">
        <f t="shared" si="10"/>
        <v>0.98329999999999995</v>
      </c>
      <c r="D10" s="41">
        <f t="shared" si="11"/>
        <v>0.93622288295545486</v>
      </c>
      <c r="E10" s="41">
        <f t="shared" si="12"/>
        <v>6.377711704454514E-2</v>
      </c>
      <c r="F10" s="41">
        <f t="shared" si="13"/>
        <v>1.5900459824423976E-2</v>
      </c>
      <c r="G10" s="51">
        <f t="shared" si="14"/>
        <v>0.6</v>
      </c>
      <c r="H10" s="17">
        <f t="shared" si="6"/>
        <v>-7.7495378488884326E-3</v>
      </c>
      <c r="I10" s="17">
        <f t="shared" si="7"/>
        <v>8.7749537848888434E-2</v>
      </c>
      <c r="J10" s="17">
        <f t="shared" si="8"/>
        <v>1.3952580011780216E-3</v>
      </c>
      <c r="K10" s="49">
        <f t="shared" si="2"/>
        <v>8</v>
      </c>
      <c r="L10" s="23">
        <v>100</v>
      </c>
      <c r="M10" s="23">
        <v>108</v>
      </c>
      <c r="N10" s="52">
        <f t="shared" si="3"/>
        <v>0</v>
      </c>
      <c r="O10" s="53">
        <f t="shared" si="3"/>
        <v>0</v>
      </c>
      <c r="P10" s="53">
        <f t="shared" si="3"/>
        <v>0</v>
      </c>
      <c r="Q10" s="53">
        <f t="shared" si="3"/>
        <v>0</v>
      </c>
      <c r="R10" s="53">
        <f t="shared" si="3"/>
        <v>64.8</v>
      </c>
      <c r="S10" s="53">
        <f t="shared" si="3"/>
        <v>8</v>
      </c>
      <c r="T10" s="53">
        <f t="shared" si="3"/>
        <v>8</v>
      </c>
      <c r="U10" s="53">
        <f t="shared" si="3"/>
        <v>8</v>
      </c>
      <c r="V10" s="53">
        <f t="shared" si="3"/>
        <v>8</v>
      </c>
      <c r="W10" s="53">
        <f t="shared" si="3"/>
        <v>8</v>
      </c>
      <c r="X10" s="53">
        <f t="shared" si="3"/>
        <v>8</v>
      </c>
      <c r="Y10" s="53">
        <f t="shared" si="3"/>
        <v>8</v>
      </c>
      <c r="Z10" s="53">
        <f t="shared" si="3"/>
        <v>8</v>
      </c>
      <c r="AA10" s="53">
        <f t="shared" si="3"/>
        <v>8</v>
      </c>
      <c r="AB10" s="53">
        <f t="shared" si="3"/>
        <v>8</v>
      </c>
      <c r="AC10" s="53">
        <f t="shared" si="3"/>
        <v>8</v>
      </c>
      <c r="AD10" s="53">
        <f t="shared" si="4"/>
        <v>8</v>
      </c>
      <c r="AE10" s="53">
        <f t="shared" si="4"/>
        <v>8</v>
      </c>
      <c r="AF10" s="53">
        <f t="shared" si="4"/>
        <v>8</v>
      </c>
      <c r="AG10" s="53">
        <f t="shared" si="4"/>
        <v>8</v>
      </c>
      <c r="AH10" s="53">
        <f t="shared" si="4"/>
        <v>8</v>
      </c>
      <c r="AI10" s="53">
        <f t="shared" si="4"/>
        <v>8</v>
      </c>
      <c r="AJ10" s="53">
        <f t="shared" si="4"/>
        <v>8</v>
      </c>
      <c r="AK10" s="53">
        <f t="shared" si="4"/>
        <v>8</v>
      </c>
      <c r="AL10" s="53">
        <f t="shared" si="4"/>
        <v>8</v>
      </c>
      <c r="AM10" s="53">
        <f t="shared" si="4"/>
        <v>8</v>
      </c>
      <c r="AN10" s="53">
        <f t="shared" si="4"/>
        <v>8</v>
      </c>
      <c r="AO10" s="53">
        <f t="shared" si="4"/>
        <v>8</v>
      </c>
      <c r="AP10" s="53">
        <f t="shared" si="4"/>
        <v>8</v>
      </c>
      <c r="AQ10" s="53">
        <f t="shared" si="4"/>
        <v>8</v>
      </c>
      <c r="AR10" s="50">
        <f t="shared" si="5"/>
        <v>1.6491425012828983E-4</v>
      </c>
    </row>
    <row r="11" spans="1:46">
      <c r="A11" s="15">
        <f t="shared" si="9"/>
        <v>6</v>
      </c>
      <c r="B11" s="41">
        <f>'[2]Esaki Haz Calcs'!B11</f>
        <v>1.8100000000000002E-2</v>
      </c>
      <c r="C11" s="41">
        <f t="shared" si="10"/>
        <v>0.9819</v>
      </c>
      <c r="D11" s="41">
        <f t="shared" si="11"/>
        <v>0.91927724877396111</v>
      </c>
      <c r="E11" s="41">
        <f t="shared" si="12"/>
        <v>8.0722751226038891E-2</v>
      </c>
      <c r="F11" s="41">
        <f t="shared" si="13"/>
        <v>1.6945634181493734E-2</v>
      </c>
      <c r="G11" s="51">
        <f t="shared" si="14"/>
        <v>0.6</v>
      </c>
      <c r="H11" s="17">
        <f t="shared" si="6"/>
        <v>9.7319609500594595E-3</v>
      </c>
      <c r="I11" s="17">
        <f t="shared" si="7"/>
        <v>7.0268039049940542E-2</v>
      </c>
      <c r="J11" s="17">
        <f t="shared" si="8"/>
        <v>1.190736484391209E-3</v>
      </c>
      <c r="K11" s="49">
        <f t="shared" si="2"/>
        <v>8</v>
      </c>
      <c r="L11" s="23">
        <v>100</v>
      </c>
      <c r="M11" s="23">
        <v>108</v>
      </c>
      <c r="N11" s="52">
        <f t="shared" si="3"/>
        <v>0</v>
      </c>
      <c r="O11" s="53">
        <f t="shared" si="3"/>
        <v>0</v>
      </c>
      <c r="P11" s="53">
        <f t="shared" si="3"/>
        <v>0</v>
      </c>
      <c r="Q11" s="53">
        <f t="shared" si="3"/>
        <v>0</v>
      </c>
      <c r="R11" s="53">
        <f t="shared" si="3"/>
        <v>0</v>
      </c>
      <c r="S11" s="53">
        <f t="shared" si="3"/>
        <v>64.8</v>
      </c>
      <c r="T11" s="53">
        <f t="shared" si="3"/>
        <v>8</v>
      </c>
      <c r="U11" s="53">
        <f t="shared" si="3"/>
        <v>8</v>
      </c>
      <c r="V11" s="53">
        <f t="shared" si="3"/>
        <v>8</v>
      </c>
      <c r="W11" s="53">
        <f t="shared" si="3"/>
        <v>8</v>
      </c>
      <c r="X11" s="53">
        <f t="shared" si="3"/>
        <v>8</v>
      </c>
      <c r="Y11" s="53">
        <f t="shared" si="3"/>
        <v>8</v>
      </c>
      <c r="Z11" s="53">
        <f t="shared" si="3"/>
        <v>8</v>
      </c>
      <c r="AA11" s="53">
        <f t="shared" si="3"/>
        <v>8</v>
      </c>
      <c r="AB11" s="53">
        <f t="shared" si="3"/>
        <v>8</v>
      </c>
      <c r="AC11" s="53">
        <f t="shared" si="3"/>
        <v>8</v>
      </c>
      <c r="AD11" s="53">
        <f t="shared" si="4"/>
        <v>8</v>
      </c>
      <c r="AE11" s="53">
        <f t="shared" si="4"/>
        <v>8</v>
      </c>
      <c r="AF11" s="53">
        <f t="shared" si="4"/>
        <v>8</v>
      </c>
      <c r="AG11" s="53">
        <f t="shared" si="4"/>
        <v>8</v>
      </c>
      <c r="AH11" s="53">
        <f t="shared" si="4"/>
        <v>8</v>
      </c>
      <c r="AI11" s="53">
        <f t="shared" si="4"/>
        <v>8</v>
      </c>
      <c r="AJ11" s="53">
        <f t="shared" si="4"/>
        <v>8</v>
      </c>
      <c r="AK11" s="53">
        <f t="shared" si="4"/>
        <v>8</v>
      </c>
      <c r="AL11" s="53">
        <f t="shared" si="4"/>
        <v>8</v>
      </c>
      <c r="AM11" s="53">
        <f t="shared" si="4"/>
        <v>8</v>
      </c>
      <c r="AN11" s="53">
        <f t="shared" si="4"/>
        <v>8</v>
      </c>
      <c r="AO11" s="53">
        <f t="shared" si="4"/>
        <v>8</v>
      </c>
      <c r="AP11" s="53">
        <f t="shared" si="4"/>
        <v>8</v>
      </c>
      <c r="AQ11" s="53">
        <f t="shared" si="4"/>
        <v>8</v>
      </c>
      <c r="AR11" s="50">
        <f t="shared" si="5"/>
        <v>3.4016938791891208E-4</v>
      </c>
    </row>
    <row r="12" spans="1:46">
      <c r="A12" s="15">
        <f t="shared" si="9"/>
        <v>7</v>
      </c>
      <c r="B12" s="41">
        <f>'[2]Esaki Haz Calcs'!B12</f>
        <v>1.66E-2</v>
      </c>
      <c r="C12" s="41">
        <f t="shared" si="10"/>
        <v>0.98340000000000005</v>
      </c>
      <c r="D12" s="41">
        <f t="shared" si="11"/>
        <v>0.90401724644431336</v>
      </c>
      <c r="E12" s="41">
        <f t="shared" si="12"/>
        <v>9.598275355568664E-2</v>
      </c>
      <c r="F12" s="41">
        <f t="shared" si="13"/>
        <v>1.5260002329647755E-2</v>
      </c>
      <c r="G12" s="51">
        <f t="shared" si="14"/>
        <v>0.6</v>
      </c>
      <c r="H12" s="17">
        <f t="shared" si="6"/>
        <v>2.2291568544391183E-2</v>
      </c>
      <c r="I12" s="17">
        <f t="shared" si="7"/>
        <v>5.7708431455608819E-2</v>
      </c>
      <c r="J12" s="17">
        <f t="shared" si="8"/>
        <v>8.8063079845290837E-4</v>
      </c>
      <c r="K12" s="49">
        <f t="shared" si="2"/>
        <v>8</v>
      </c>
      <c r="L12" s="23">
        <v>100</v>
      </c>
      <c r="M12" s="23">
        <v>108</v>
      </c>
      <c r="N12" s="52">
        <f t="shared" si="3"/>
        <v>0</v>
      </c>
      <c r="O12" s="53">
        <f t="shared" si="3"/>
        <v>0</v>
      </c>
      <c r="P12" s="53">
        <f t="shared" si="3"/>
        <v>0</v>
      </c>
      <c r="Q12" s="53">
        <f t="shared" si="3"/>
        <v>0</v>
      </c>
      <c r="R12" s="53">
        <f t="shared" si="3"/>
        <v>0</v>
      </c>
      <c r="S12" s="53">
        <f t="shared" si="3"/>
        <v>0</v>
      </c>
      <c r="T12" s="53">
        <f t="shared" si="3"/>
        <v>64.8</v>
      </c>
      <c r="U12" s="53">
        <f t="shared" si="3"/>
        <v>8</v>
      </c>
      <c r="V12" s="53">
        <f t="shared" si="3"/>
        <v>8</v>
      </c>
      <c r="W12" s="53">
        <f t="shared" si="3"/>
        <v>8</v>
      </c>
      <c r="X12" s="53">
        <f t="shared" si="3"/>
        <v>8</v>
      </c>
      <c r="Y12" s="53">
        <f t="shared" si="3"/>
        <v>8</v>
      </c>
      <c r="Z12" s="53">
        <f t="shared" si="3"/>
        <v>8</v>
      </c>
      <c r="AA12" s="53">
        <f t="shared" si="3"/>
        <v>8</v>
      </c>
      <c r="AB12" s="53">
        <f t="shared" si="3"/>
        <v>8</v>
      </c>
      <c r="AC12" s="53">
        <f t="shared" si="3"/>
        <v>8</v>
      </c>
      <c r="AD12" s="53">
        <f t="shared" si="4"/>
        <v>8</v>
      </c>
      <c r="AE12" s="53">
        <f t="shared" si="4"/>
        <v>8</v>
      </c>
      <c r="AF12" s="53">
        <f t="shared" si="4"/>
        <v>8</v>
      </c>
      <c r="AG12" s="53">
        <f t="shared" si="4"/>
        <v>8</v>
      </c>
      <c r="AH12" s="53">
        <f t="shared" si="4"/>
        <v>8</v>
      </c>
      <c r="AI12" s="53">
        <f t="shared" si="4"/>
        <v>8</v>
      </c>
      <c r="AJ12" s="53">
        <f t="shared" si="4"/>
        <v>8</v>
      </c>
      <c r="AK12" s="53">
        <f t="shared" si="4"/>
        <v>8</v>
      </c>
      <c r="AL12" s="53">
        <f t="shared" si="4"/>
        <v>8</v>
      </c>
      <c r="AM12" s="53">
        <f t="shared" si="4"/>
        <v>8</v>
      </c>
      <c r="AN12" s="53">
        <f t="shared" si="4"/>
        <v>8</v>
      </c>
      <c r="AO12" s="53">
        <f t="shared" si="4"/>
        <v>8</v>
      </c>
      <c r="AP12" s="53">
        <f t="shared" si="4"/>
        <v>8</v>
      </c>
      <c r="AQ12" s="53">
        <f t="shared" si="4"/>
        <v>8</v>
      </c>
      <c r="AR12" s="50">
        <f t="shared" si="5"/>
        <v>3.0963051751015173E-4</v>
      </c>
    </row>
    <row r="13" spans="1:46">
      <c r="A13" s="15">
        <f t="shared" si="9"/>
        <v>8</v>
      </c>
      <c r="B13" s="41">
        <f>'[2]Esaki Haz Calcs'!B13</f>
        <v>1.0800000000000001E-2</v>
      </c>
      <c r="C13" s="41">
        <f t="shared" si="10"/>
        <v>0.98919999999999997</v>
      </c>
      <c r="D13" s="41">
        <f t="shared" si="11"/>
        <v>0.8942538601827148</v>
      </c>
      <c r="E13" s="41">
        <f t="shared" si="12"/>
        <v>0.1057461398172852</v>
      </c>
      <c r="F13" s="41">
        <f t="shared" si="13"/>
        <v>9.7633862615985854E-3</v>
      </c>
      <c r="G13" s="51">
        <f t="shared" si="14"/>
        <v>0.6</v>
      </c>
      <c r="H13" s="17">
        <f t="shared" si="6"/>
        <v>3.1713435196965678E-2</v>
      </c>
      <c r="I13" s="17">
        <f t="shared" si="7"/>
        <v>4.8286564803034324E-2</v>
      </c>
      <c r="J13" s="17">
        <f t="shared" si="8"/>
        <v>4.7144038341773511E-4</v>
      </c>
      <c r="K13" s="49">
        <f t="shared" si="2"/>
        <v>8</v>
      </c>
      <c r="L13" s="23">
        <v>100</v>
      </c>
      <c r="M13" s="23">
        <v>108</v>
      </c>
      <c r="N13" s="52">
        <f t="shared" si="3"/>
        <v>0</v>
      </c>
      <c r="O13" s="53">
        <f t="shared" si="3"/>
        <v>0</v>
      </c>
      <c r="P13" s="53">
        <f t="shared" si="3"/>
        <v>0</v>
      </c>
      <c r="Q13" s="53">
        <f t="shared" si="3"/>
        <v>0</v>
      </c>
      <c r="R13" s="53">
        <f t="shared" si="3"/>
        <v>0</v>
      </c>
      <c r="S13" s="53">
        <f t="shared" si="3"/>
        <v>0</v>
      </c>
      <c r="T13" s="53">
        <f t="shared" si="3"/>
        <v>0</v>
      </c>
      <c r="U13" s="53">
        <f t="shared" si="3"/>
        <v>64.8</v>
      </c>
      <c r="V13" s="53">
        <f t="shared" si="3"/>
        <v>8</v>
      </c>
      <c r="W13" s="53">
        <f t="shared" si="3"/>
        <v>8</v>
      </c>
      <c r="X13" s="53">
        <f t="shared" si="3"/>
        <v>8</v>
      </c>
      <c r="Y13" s="53">
        <f t="shared" si="3"/>
        <v>8</v>
      </c>
      <c r="Z13" s="53">
        <f t="shared" si="3"/>
        <v>8</v>
      </c>
      <c r="AA13" s="53">
        <f t="shared" si="3"/>
        <v>8</v>
      </c>
      <c r="AB13" s="53">
        <f t="shared" si="3"/>
        <v>8</v>
      </c>
      <c r="AC13" s="53">
        <f t="shared" si="3"/>
        <v>8</v>
      </c>
      <c r="AD13" s="53">
        <f t="shared" si="4"/>
        <v>8</v>
      </c>
      <c r="AE13" s="53">
        <f t="shared" si="4"/>
        <v>8</v>
      </c>
      <c r="AF13" s="53">
        <f t="shared" si="4"/>
        <v>8</v>
      </c>
      <c r="AG13" s="53">
        <f t="shared" si="4"/>
        <v>8</v>
      </c>
      <c r="AH13" s="53">
        <f t="shared" si="4"/>
        <v>8</v>
      </c>
      <c r="AI13" s="53">
        <f t="shared" si="4"/>
        <v>8</v>
      </c>
      <c r="AJ13" s="53">
        <f t="shared" si="4"/>
        <v>8</v>
      </c>
      <c r="AK13" s="53">
        <f t="shared" si="4"/>
        <v>8</v>
      </c>
      <c r="AL13" s="53">
        <f t="shared" si="4"/>
        <v>8</v>
      </c>
      <c r="AM13" s="53">
        <f t="shared" si="4"/>
        <v>8</v>
      </c>
      <c r="AN13" s="53">
        <f t="shared" si="4"/>
        <v>8</v>
      </c>
      <c r="AO13" s="53">
        <f t="shared" si="4"/>
        <v>8</v>
      </c>
      <c r="AP13" s="53">
        <f t="shared" si="4"/>
        <v>8</v>
      </c>
      <c r="AQ13" s="53">
        <f t="shared" si="4"/>
        <v>8</v>
      </c>
      <c r="AR13" s="50">
        <f t="shared" si="5"/>
        <v>3.3492711483908019E-4</v>
      </c>
    </row>
    <row r="14" spans="1:46">
      <c r="A14" s="15">
        <f t="shared" si="9"/>
        <v>9</v>
      </c>
      <c r="B14" s="41">
        <f>'[2]Esaki Haz Calcs'!B14</f>
        <v>9.5999999999999992E-3</v>
      </c>
      <c r="C14" s="41">
        <f t="shared" si="10"/>
        <v>0.99039999999999995</v>
      </c>
      <c r="D14" s="41">
        <f t="shared" si="11"/>
        <v>0.88566902312496065</v>
      </c>
      <c r="E14" s="41">
        <f t="shared" si="12"/>
        <v>0.11433097687503935</v>
      </c>
      <c r="F14" s="41">
        <f t="shared" si="13"/>
        <v>8.5848370577540616E-3</v>
      </c>
      <c r="G14" s="51">
        <f t="shared" si="14"/>
        <v>0.6</v>
      </c>
      <c r="H14" s="17">
        <f t="shared" si="6"/>
        <v>3.9013799864327625E-2</v>
      </c>
      <c r="I14" s="17">
        <f t="shared" si="7"/>
        <v>4.0986200135672377E-2</v>
      </c>
      <c r="J14" s="17">
        <f t="shared" si="8"/>
        <v>3.5185984978124477E-4</v>
      </c>
      <c r="K14" s="49">
        <f t="shared" si="2"/>
        <v>8</v>
      </c>
      <c r="L14" s="23">
        <v>100</v>
      </c>
      <c r="M14" s="23">
        <v>108</v>
      </c>
      <c r="N14" s="52">
        <f t="shared" si="3"/>
        <v>0</v>
      </c>
      <c r="O14" s="53">
        <f t="shared" si="3"/>
        <v>0</v>
      </c>
      <c r="P14" s="53">
        <f t="shared" si="3"/>
        <v>0</v>
      </c>
      <c r="Q14" s="53">
        <f t="shared" si="3"/>
        <v>0</v>
      </c>
      <c r="R14" s="53">
        <f t="shared" si="3"/>
        <v>0</v>
      </c>
      <c r="S14" s="53">
        <f t="shared" si="3"/>
        <v>0</v>
      </c>
      <c r="T14" s="53">
        <f t="shared" si="3"/>
        <v>0</v>
      </c>
      <c r="U14" s="53">
        <f t="shared" si="3"/>
        <v>0</v>
      </c>
      <c r="V14" s="53">
        <f t="shared" si="3"/>
        <v>64.8</v>
      </c>
      <c r="W14" s="53">
        <f t="shared" si="3"/>
        <v>8</v>
      </c>
      <c r="X14" s="53">
        <f t="shared" si="3"/>
        <v>8</v>
      </c>
      <c r="Y14" s="53">
        <f t="shared" si="3"/>
        <v>8</v>
      </c>
      <c r="Z14" s="53">
        <f t="shared" si="3"/>
        <v>8</v>
      </c>
      <c r="AA14" s="53">
        <f t="shared" si="3"/>
        <v>8</v>
      </c>
      <c r="AB14" s="53">
        <f t="shared" si="3"/>
        <v>8</v>
      </c>
      <c r="AC14" s="53">
        <f t="shared" si="3"/>
        <v>8</v>
      </c>
      <c r="AD14" s="53">
        <f t="shared" si="4"/>
        <v>8</v>
      </c>
      <c r="AE14" s="53">
        <f t="shared" si="4"/>
        <v>8</v>
      </c>
      <c r="AF14" s="53">
        <f t="shared" si="4"/>
        <v>8</v>
      </c>
      <c r="AG14" s="53">
        <f t="shared" si="4"/>
        <v>8</v>
      </c>
      <c r="AH14" s="53">
        <f t="shared" si="4"/>
        <v>8</v>
      </c>
      <c r="AI14" s="53">
        <f t="shared" si="4"/>
        <v>8</v>
      </c>
      <c r="AJ14" s="53">
        <f t="shared" si="4"/>
        <v>8</v>
      </c>
      <c r="AK14" s="53">
        <f t="shared" si="4"/>
        <v>8</v>
      </c>
      <c r="AL14" s="53">
        <f t="shared" si="4"/>
        <v>8</v>
      </c>
      <c r="AM14" s="53">
        <f t="shared" si="4"/>
        <v>8</v>
      </c>
      <c r="AN14" s="53">
        <f t="shared" si="4"/>
        <v>8</v>
      </c>
      <c r="AO14" s="53">
        <f t="shared" si="4"/>
        <v>8</v>
      </c>
      <c r="AP14" s="53">
        <f t="shared" si="4"/>
        <v>8</v>
      </c>
      <c r="AQ14" s="53">
        <f t="shared" si="4"/>
        <v>8</v>
      </c>
      <c r="AR14" s="50">
        <f t="shared" si="5"/>
        <v>2.8577002438211197E-4</v>
      </c>
    </row>
    <row r="15" spans="1:46">
      <c r="A15" s="15">
        <f t="shared" si="9"/>
        <v>10</v>
      </c>
      <c r="B15" s="41">
        <f>'[2]Esaki Haz Calcs'!B15</f>
        <v>7.1999999999999998E-3</v>
      </c>
      <c r="C15" s="41">
        <f t="shared" si="10"/>
        <v>0.99280000000000002</v>
      </c>
      <c r="D15" s="41">
        <f t="shared" si="11"/>
        <v>0.87929220615846093</v>
      </c>
      <c r="E15" s="41">
        <f t="shared" si="12"/>
        <v>0.12070779384153907</v>
      </c>
      <c r="F15" s="41">
        <f t="shared" si="13"/>
        <v>6.3768169664997166E-3</v>
      </c>
      <c r="G15" s="51">
        <f t="shared" si="14"/>
        <v>0.6</v>
      </c>
      <c r="H15" s="17">
        <f t="shared" si="6"/>
        <v>4.4813897887204579E-2</v>
      </c>
      <c r="I15" s="17">
        <f t="shared" si="7"/>
        <v>3.5186102112795423E-2</v>
      </c>
      <c r="J15" s="17">
        <f t="shared" si="8"/>
        <v>2.2437533293786537E-4</v>
      </c>
      <c r="K15" s="49">
        <f t="shared" si="2"/>
        <v>8</v>
      </c>
      <c r="L15" s="23">
        <v>100</v>
      </c>
      <c r="M15" s="23">
        <v>108</v>
      </c>
      <c r="N15" s="52">
        <f t="shared" si="3"/>
        <v>0</v>
      </c>
      <c r="O15" s="53">
        <f t="shared" si="3"/>
        <v>0</v>
      </c>
      <c r="P15" s="53">
        <f t="shared" si="3"/>
        <v>0</v>
      </c>
      <c r="Q15" s="53">
        <f t="shared" si="3"/>
        <v>0</v>
      </c>
      <c r="R15" s="53">
        <f t="shared" si="3"/>
        <v>0</v>
      </c>
      <c r="S15" s="53">
        <f t="shared" si="3"/>
        <v>0</v>
      </c>
      <c r="T15" s="53">
        <f t="shared" si="3"/>
        <v>0</v>
      </c>
      <c r="U15" s="53">
        <f t="shared" si="3"/>
        <v>0</v>
      </c>
      <c r="V15" s="53">
        <f t="shared" si="3"/>
        <v>0</v>
      </c>
      <c r="W15" s="53">
        <f t="shared" si="3"/>
        <v>64.8</v>
      </c>
      <c r="X15" s="53">
        <f t="shared" si="3"/>
        <v>8</v>
      </c>
      <c r="Y15" s="53">
        <f t="shared" si="3"/>
        <v>8</v>
      </c>
      <c r="Z15" s="53">
        <f t="shared" si="3"/>
        <v>8</v>
      </c>
      <c r="AA15" s="53">
        <f t="shared" si="3"/>
        <v>8</v>
      </c>
      <c r="AB15" s="53">
        <f t="shared" si="3"/>
        <v>8</v>
      </c>
      <c r="AC15" s="53">
        <f t="shared" si="3"/>
        <v>8</v>
      </c>
      <c r="AD15" s="53">
        <f t="shared" si="4"/>
        <v>8</v>
      </c>
      <c r="AE15" s="53">
        <f t="shared" si="4"/>
        <v>8</v>
      </c>
      <c r="AF15" s="53">
        <f t="shared" si="4"/>
        <v>8</v>
      </c>
      <c r="AG15" s="53">
        <f t="shared" si="4"/>
        <v>8</v>
      </c>
      <c r="AH15" s="53">
        <f t="shared" si="4"/>
        <v>8</v>
      </c>
      <c r="AI15" s="53">
        <f t="shared" si="4"/>
        <v>8</v>
      </c>
      <c r="AJ15" s="53">
        <f t="shared" si="4"/>
        <v>8</v>
      </c>
      <c r="AK15" s="53">
        <f t="shared" si="4"/>
        <v>8</v>
      </c>
      <c r="AL15" s="53">
        <f t="shared" si="4"/>
        <v>8</v>
      </c>
      <c r="AM15" s="53">
        <f t="shared" si="4"/>
        <v>8</v>
      </c>
      <c r="AN15" s="53">
        <f t="shared" si="4"/>
        <v>8</v>
      </c>
      <c r="AO15" s="53">
        <f t="shared" si="4"/>
        <v>8</v>
      </c>
      <c r="AP15" s="53">
        <f t="shared" si="4"/>
        <v>8</v>
      </c>
      <c r="AQ15" s="53">
        <f t="shared" si="4"/>
        <v>8</v>
      </c>
      <c r="AR15" s="50">
        <f t="shared" si="5"/>
        <v>3.0041230348688938E-4</v>
      </c>
    </row>
    <row r="16" spans="1:46">
      <c r="A16" s="15">
        <f t="shared" si="9"/>
        <v>11</v>
      </c>
      <c r="B16" s="41">
        <f>'[2]Esaki Haz Calcs'!B16</f>
        <v>6.8999999999999999E-3</v>
      </c>
      <c r="C16" s="41">
        <f t="shared" si="10"/>
        <v>0.99309999999999998</v>
      </c>
      <c r="D16" s="41">
        <f t="shared" si="11"/>
        <v>0.87322508993596759</v>
      </c>
      <c r="E16" s="41">
        <f t="shared" si="12"/>
        <v>0.12677491006403241</v>
      </c>
      <c r="F16" s="41">
        <f t="shared" si="13"/>
        <v>6.0671162224933805E-3</v>
      </c>
      <c r="G16" s="51">
        <f t="shared" si="14"/>
        <v>0.6</v>
      </c>
      <c r="H16" s="17">
        <f t="shared" si="6"/>
        <v>4.9514842384777991E-2</v>
      </c>
      <c r="I16" s="17">
        <f t="shared" si="7"/>
        <v>3.0485157615222011E-2</v>
      </c>
      <c r="J16" s="17">
        <f t="shared" si="8"/>
        <v>1.8495699431258109E-4</v>
      </c>
      <c r="K16" s="49">
        <f t="shared" si="2"/>
        <v>8</v>
      </c>
      <c r="L16" s="23">
        <v>100</v>
      </c>
      <c r="M16" s="23">
        <v>108</v>
      </c>
      <c r="N16" s="52">
        <f t="shared" si="3"/>
        <v>0</v>
      </c>
      <c r="O16" s="53">
        <f t="shared" si="3"/>
        <v>0</v>
      </c>
      <c r="P16" s="53">
        <f t="shared" si="3"/>
        <v>0</v>
      </c>
      <c r="Q16" s="53">
        <f t="shared" si="3"/>
        <v>0</v>
      </c>
      <c r="R16" s="53">
        <f t="shared" si="3"/>
        <v>0</v>
      </c>
      <c r="S16" s="53">
        <f t="shared" si="3"/>
        <v>0</v>
      </c>
      <c r="T16" s="53">
        <f t="shared" si="3"/>
        <v>0</v>
      </c>
      <c r="U16" s="53">
        <f t="shared" si="3"/>
        <v>0</v>
      </c>
      <c r="V16" s="53">
        <f t="shared" si="3"/>
        <v>0</v>
      </c>
      <c r="W16" s="53">
        <f t="shared" si="3"/>
        <v>0</v>
      </c>
      <c r="X16" s="53">
        <f t="shared" si="3"/>
        <v>64.8</v>
      </c>
      <c r="Y16" s="53">
        <f t="shared" si="3"/>
        <v>8</v>
      </c>
      <c r="Z16" s="53">
        <f t="shared" si="3"/>
        <v>8</v>
      </c>
      <c r="AA16" s="53">
        <f t="shared" si="3"/>
        <v>8</v>
      </c>
      <c r="AB16" s="53">
        <f t="shared" si="3"/>
        <v>8</v>
      </c>
      <c r="AC16" s="53">
        <f t="shared" si="3"/>
        <v>8</v>
      </c>
      <c r="AD16" s="53">
        <f t="shared" si="4"/>
        <v>8</v>
      </c>
      <c r="AE16" s="53">
        <f t="shared" si="4"/>
        <v>8</v>
      </c>
      <c r="AF16" s="53">
        <f t="shared" si="4"/>
        <v>8</v>
      </c>
      <c r="AG16" s="53">
        <f t="shared" si="4"/>
        <v>8</v>
      </c>
      <c r="AH16" s="53">
        <f t="shared" si="4"/>
        <v>8</v>
      </c>
      <c r="AI16" s="53">
        <f t="shared" si="4"/>
        <v>8</v>
      </c>
      <c r="AJ16" s="53">
        <f t="shared" si="4"/>
        <v>8</v>
      </c>
      <c r="AK16" s="53">
        <f t="shared" si="4"/>
        <v>8</v>
      </c>
      <c r="AL16" s="53">
        <f t="shared" si="4"/>
        <v>8</v>
      </c>
      <c r="AM16" s="53">
        <f t="shared" si="4"/>
        <v>8</v>
      </c>
      <c r="AN16" s="53">
        <f t="shared" si="4"/>
        <v>8</v>
      </c>
      <c r="AO16" s="53">
        <f t="shared" si="4"/>
        <v>8</v>
      </c>
      <c r="AP16" s="53">
        <f t="shared" si="4"/>
        <v>8</v>
      </c>
      <c r="AQ16" s="53">
        <f t="shared" si="4"/>
        <v>8</v>
      </c>
      <c r="AR16" s="50">
        <f t="shared" si="5"/>
        <v>2.5640456753005985E-4</v>
      </c>
    </row>
    <row r="17" spans="1:44">
      <c r="A17" s="15">
        <f t="shared" si="9"/>
        <v>12</v>
      </c>
      <c r="B17" s="41">
        <f>'[2]Esaki Haz Calcs'!B17</f>
        <v>5.4999999999999997E-3</v>
      </c>
      <c r="C17" s="41">
        <f t="shared" si="10"/>
        <v>0.99450000000000005</v>
      </c>
      <c r="D17" s="41">
        <f t="shared" si="11"/>
        <v>0.86842235194131978</v>
      </c>
      <c r="E17" s="41">
        <f t="shared" si="12"/>
        <v>0.13157764805868022</v>
      </c>
      <c r="F17" s="41">
        <f t="shared" si="13"/>
        <v>4.8027379946478212E-3</v>
      </c>
      <c r="G17" s="51">
        <f t="shared" si="14"/>
        <v>0.6</v>
      </c>
      <c r="H17" s="17">
        <f t="shared" si="6"/>
        <v>5.3387165366046929E-2</v>
      </c>
      <c r="I17" s="17">
        <f t="shared" si="7"/>
        <v>2.6612834633953072E-2</v>
      </c>
      <c r="J17" s="17">
        <f t="shared" si="8"/>
        <v>1.2781447204176586E-4</v>
      </c>
      <c r="K17" s="49">
        <f t="shared" si="2"/>
        <v>8</v>
      </c>
      <c r="L17" s="23">
        <v>100</v>
      </c>
      <c r="M17" s="23">
        <v>108</v>
      </c>
      <c r="N17" s="52">
        <f t="shared" si="3"/>
        <v>0</v>
      </c>
      <c r="O17" s="53">
        <f t="shared" si="3"/>
        <v>0</v>
      </c>
      <c r="P17" s="53">
        <f t="shared" si="3"/>
        <v>0</v>
      </c>
      <c r="Q17" s="53">
        <f t="shared" si="3"/>
        <v>0</v>
      </c>
      <c r="R17" s="53">
        <f t="shared" si="3"/>
        <v>0</v>
      </c>
      <c r="S17" s="53">
        <f t="shared" si="3"/>
        <v>0</v>
      </c>
      <c r="T17" s="53">
        <f t="shared" si="3"/>
        <v>0</v>
      </c>
      <c r="U17" s="53">
        <f t="shared" si="3"/>
        <v>0</v>
      </c>
      <c r="V17" s="53">
        <f t="shared" si="3"/>
        <v>0</v>
      </c>
      <c r="W17" s="53">
        <f t="shared" si="3"/>
        <v>0</v>
      </c>
      <c r="X17" s="53">
        <f t="shared" si="3"/>
        <v>0</v>
      </c>
      <c r="Y17" s="53">
        <f t="shared" si="3"/>
        <v>64.8</v>
      </c>
      <c r="Z17" s="53">
        <f t="shared" si="3"/>
        <v>8</v>
      </c>
      <c r="AA17" s="53">
        <f t="shared" si="3"/>
        <v>8</v>
      </c>
      <c r="AB17" s="53">
        <f t="shared" si="3"/>
        <v>8</v>
      </c>
      <c r="AC17" s="53">
        <f t="shared" si="3"/>
        <v>8</v>
      </c>
      <c r="AD17" s="53">
        <f t="shared" si="4"/>
        <v>8</v>
      </c>
      <c r="AE17" s="53">
        <f t="shared" si="4"/>
        <v>8</v>
      </c>
      <c r="AF17" s="53">
        <f t="shared" si="4"/>
        <v>8</v>
      </c>
      <c r="AG17" s="53">
        <f t="shared" si="4"/>
        <v>8</v>
      </c>
      <c r="AH17" s="53">
        <f t="shared" si="4"/>
        <v>8</v>
      </c>
      <c r="AI17" s="53">
        <f t="shared" si="4"/>
        <v>8</v>
      </c>
      <c r="AJ17" s="53">
        <f t="shared" si="4"/>
        <v>8</v>
      </c>
      <c r="AK17" s="53">
        <f t="shared" si="4"/>
        <v>8</v>
      </c>
      <c r="AL17" s="53">
        <f t="shared" si="4"/>
        <v>8</v>
      </c>
      <c r="AM17" s="53">
        <f t="shared" si="4"/>
        <v>8</v>
      </c>
      <c r="AN17" s="53">
        <f t="shared" si="4"/>
        <v>8</v>
      </c>
      <c r="AO17" s="53">
        <f t="shared" si="4"/>
        <v>8</v>
      </c>
      <c r="AP17" s="53">
        <f t="shared" si="4"/>
        <v>8</v>
      </c>
      <c r="AQ17" s="53">
        <f t="shared" si="4"/>
        <v>8</v>
      </c>
      <c r="AR17" s="50">
        <f t="shared" si="5"/>
        <v>2.5076712167381761E-4</v>
      </c>
    </row>
    <row r="18" spans="1:44">
      <c r="A18" s="15">
        <f t="shared" si="9"/>
        <v>13</v>
      </c>
      <c r="B18" s="41">
        <f>'[2]Esaki Haz Calcs'!B18</f>
        <v>5.1000000000000004E-3</v>
      </c>
      <c r="C18" s="41">
        <f t="shared" si="10"/>
        <v>0.99490000000000001</v>
      </c>
      <c r="D18" s="41">
        <f t="shared" si="11"/>
        <v>0.86399339794641905</v>
      </c>
      <c r="E18" s="41">
        <f t="shared" si="12"/>
        <v>0.13600660205358095</v>
      </c>
      <c r="F18" s="41">
        <f t="shared" si="13"/>
        <v>4.4289539949007315E-3</v>
      </c>
      <c r="G18" s="51">
        <f t="shared" si="14"/>
        <v>0.6</v>
      </c>
      <c r="H18" s="17">
        <f t="shared" si="6"/>
        <v>5.6619942759066344E-2</v>
      </c>
      <c r="I18" s="17">
        <f t="shared" si="7"/>
        <v>2.3380057240933658E-2</v>
      </c>
      <c r="J18" s="17">
        <f t="shared" si="8"/>
        <v>1.035491979182409E-4</v>
      </c>
      <c r="K18" s="49">
        <f t="shared" si="2"/>
        <v>8</v>
      </c>
      <c r="L18" s="23">
        <v>100</v>
      </c>
      <c r="M18" s="23">
        <v>108</v>
      </c>
      <c r="N18" s="52">
        <f t="shared" si="3"/>
        <v>0</v>
      </c>
      <c r="O18" s="53">
        <f t="shared" si="3"/>
        <v>0</v>
      </c>
      <c r="P18" s="53">
        <f t="shared" si="3"/>
        <v>0</v>
      </c>
      <c r="Q18" s="53">
        <f t="shared" si="3"/>
        <v>0</v>
      </c>
      <c r="R18" s="53">
        <f t="shared" si="3"/>
        <v>0</v>
      </c>
      <c r="S18" s="53">
        <f t="shared" si="3"/>
        <v>0</v>
      </c>
      <c r="T18" s="53">
        <f t="shared" si="3"/>
        <v>0</v>
      </c>
      <c r="U18" s="53">
        <f t="shared" si="3"/>
        <v>0</v>
      </c>
      <c r="V18" s="53">
        <f t="shared" si="3"/>
        <v>0</v>
      </c>
      <c r="W18" s="53">
        <f t="shared" si="3"/>
        <v>0</v>
      </c>
      <c r="X18" s="53">
        <f t="shared" si="3"/>
        <v>0</v>
      </c>
      <c r="Y18" s="53">
        <f t="shared" si="3"/>
        <v>0</v>
      </c>
      <c r="Z18" s="53">
        <f t="shared" si="3"/>
        <v>64.8</v>
      </c>
      <c r="AA18" s="53">
        <f t="shared" si="3"/>
        <v>8</v>
      </c>
      <c r="AB18" s="53">
        <f t="shared" si="3"/>
        <v>8</v>
      </c>
      <c r="AC18" s="53">
        <f t="shared" si="3"/>
        <v>8</v>
      </c>
      <c r="AD18" s="53">
        <f t="shared" si="4"/>
        <v>8</v>
      </c>
      <c r="AE18" s="53">
        <f t="shared" si="4"/>
        <v>8</v>
      </c>
      <c r="AF18" s="53">
        <f t="shared" si="4"/>
        <v>8</v>
      </c>
      <c r="AG18" s="53">
        <f t="shared" si="4"/>
        <v>8</v>
      </c>
      <c r="AH18" s="53">
        <f t="shared" si="4"/>
        <v>8</v>
      </c>
      <c r="AI18" s="53">
        <f t="shared" si="4"/>
        <v>8</v>
      </c>
      <c r="AJ18" s="53">
        <f t="shared" si="4"/>
        <v>8</v>
      </c>
      <c r="AK18" s="53">
        <f t="shared" si="4"/>
        <v>8</v>
      </c>
      <c r="AL18" s="53">
        <f t="shared" si="4"/>
        <v>8</v>
      </c>
      <c r="AM18" s="53">
        <f t="shared" si="4"/>
        <v>8</v>
      </c>
      <c r="AN18" s="53">
        <f t="shared" si="4"/>
        <v>8</v>
      </c>
      <c r="AO18" s="53">
        <f t="shared" si="4"/>
        <v>8</v>
      </c>
      <c r="AP18" s="53">
        <f t="shared" si="4"/>
        <v>8</v>
      </c>
      <c r="AQ18" s="53">
        <f t="shared" si="4"/>
        <v>8</v>
      </c>
      <c r="AR18" s="50">
        <f t="shared" si="5"/>
        <v>2.2049281490999726E-4</v>
      </c>
    </row>
    <row r="19" spans="1:44">
      <c r="A19" s="15">
        <f t="shared" si="9"/>
        <v>14</v>
      </c>
      <c r="B19" s="41">
        <f>'[2]Esaki Haz Calcs'!B19</f>
        <v>4.3E-3</v>
      </c>
      <c r="C19" s="41">
        <f t="shared" si="10"/>
        <v>0.99570000000000003</v>
      </c>
      <c r="D19" s="41">
        <f t="shared" si="11"/>
        <v>0.86027822633524953</v>
      </c>
      <c r="E19" s="41">
        <f t="shared" si="12"/>
        <v>0.13972177366475047</v>
      </c>
      <c r="F19" s="41">
        <f t="shared" si="13"/>
        <v>3.7151716111696021E-3</v>
      </c>
      <c r="G19" s="51">
        <f t="shared" si="14"/>
        <v>0.6</v>
      </c>
      <c r="H19" s="17">
        <f t="shared" si="6"/>
        <v>5.9349294726275703E-2</v>
      </c>
      <c r="I19" s="17">
        <f t="shared" si="7"/>
        <v>2.0650705273724299E-2</v>
      </c>
      <c r="J19" s="17">
        <f t="shared" si="8"/>
        <v>7.6720913983570899E-5</v>
      </c>
      <c r="K19" s="49">
        <f t="shared" si="2"/>
        <v>8</v>
      </c>
      <c r="L19" s="23">
        <v>100</v>
      </c>
      <c r="M19" s="23">
        <v>108</v>
      </c>
      <c r="N19" s="52">
        <f t="shared" si="3"/>
        <v>0</v>
      </c>
      <c r="O19" s="53">
        <f t="shared" si="3"/>
        <v>0</v>
      </c>
      <c r="P19" s="53">
        <f t="shared" si="3"/>
        <v>0</v>
      </c>
      <c r="Q19" s="53">
        <f t="shared" si="3"/>
        <v>0</v>
      </c>
      <c r="R19" s="53">
        <f t="shared" si="3"/>
        <v>0</v>
      </c>
      <c r="S19" s="53">
        <f t="shared" si="3"/>
        <v>0</v>
      </c>
      <c r="T19" s="53">
        <f t="shared" si="3"/>
        <v>0</v>
      </c>
      <c r="U19" s="53">
        <f t="shared" si="3"/>
        <v>0</v>
      </c>
      <c r="V19" s="53">
        <f t="shared" si="3"/>
        <v>0</v>
      </c>
      <c r="W19" s="53">
        <f t="shared" si="3"/>
        <v>0</v>
      </c>
      <c r="X19" s="53">
        <f t="shared" si="3"/>
        <v>0</v>
      </c>
      <c r="Y19" s="53">
        <f t="shared" si="3"/>
        <v>0</v>
      </c>
      <c r="Z19" s="53">
        <f t="shared" si="3"/>
        <v>0</v>
      </c>
      <c r="AA19" s="53">
        <f t="shared" si="3"/>
        <v>64.8</v>
      </c>
      <c r="AB19" s="53">
        <f t="shared" si="3"/>
        <v>8</v>
      </c>
      <c r="AC19" s="53">
        <f t="shared" si="3"/>
        <v>8</v>
      </c>
      <c r="AD19" s="53">
        <f t="shared" si="4"/>
        <v>8</v>
      </c>
      <c r="AE19" s="53">
        <f t="shared" si="4"/>
        <v>8</v>
      </c>
      <c r="AF19" s="53">
        <f t="shared" si="4"/>
        <v>8</v>
      </c>
      <c r="AG19" s="53">
        <f t="shared" si="4"/>
        <v>8</v>
      </c>
      <c r="AH19" s="53">
        <f t="shared" si="4"/>
        <v>8</v>
      </c>
      <c r="AI19" s="53">
        <f t="shared" si="4"/>
        <v>8</v>
      </c>
      <c r="AJ19" s="53">
        <f t="shared" si="4"/>
        <v>8</v>
      </c>
      <c r="AK19" s="53">
        <f t="shared" si="4"/>
        <v>8</v>
      </c>
      <c r="AL19" s="53">
        <f t="shared" si="4"/>
        <v>8</v>
      </c>
      <c r="AM19" s="53">
        <f t="shared" si="4"/>
        <v>8</v>
      </c>
      <c r="AN19" s="53">
        <f t="shared" si="4"/>
        <v>8</v>
      </c>
      <c r="AO19" s="53">
        <f t="shared" si="4"/>
        <v>8</v>
      </c>
      <c r="AP19" s="53">
        <f t="shared" si="4"/>
        <v>8</v>
      </c>
      <c r="AQ19" s="53">
        <f t="shared" si="4"/>
        <v>8</v>
      </c>
      <c r="AR19" s="50">
        <f t="shared" si="5"/>
        <v>1.6448061691447566E-4</v>
      </c>
    </row>
    <row r="20" spans="1:44">
      <c r="A20" s="15">
        <f t="shared" si="9"/>
        <v>15</v>
      </c>
      <c r="B20" s="41">
        <f>'[2]Esaki Haz Calcs'!B20</f>
        <v>3.0999999999999999E-3</v>
      </c>
      <c r="C20" s="41">
        <f t="shared" si="10"/>
        <v>0.99690000000000001</v>
      </c>
      <c r="D20" s="41">
        <f t="shared" si="11"/>
        <v>0.85761136383361025</v>
      </c>
      <c r="E20" s="41">
        <f t="shared" si="12"/>
        <v>0.14238863616638975</v>
      </c>
      <c r="F20" s="41">
        <f t="shared" si="13"/>
        <v>2.6668625016392734E-3</v>
      </c>
      <c r="G20" s="51">
        <f t="shared" si="14"/>
        <v>0.6</v>
      </c>
      <c r="H20" s="17">
        <f t="shared" si="6"/>
        <v>6.1675701995649312E-2</v>
      </c>
      <c r="I20" s="17">
        <f t="shared" si="7"/>
        <v>1.8324298004350689E-2</v>
      </c>
      <c r="J20" s="17">
        <f t="shared" si="8"/>
        <v>4.8868383216666225E-5</v>
      </c>
      <c r="K20" s="49">
        <f t="shared" si="2"/>
        <v>8</v>
      </c>
      <c r="L20" s="23">
        <v>100</v>
      </c>
      <c r="M20" s="23">
        <v>108</v>
      </c>
      <c r="N20" s="52">
        <f t="shared" si="3"/>
        <v>0</v>
      </c>
      <c r="O20" s="53">
        <f t="shared" si="3"/>
        <v>0</v>
      </c>
      <c r="P20" s="53">
        <f t="shared" si="3"/>
        <v>0</v>
      </c>
      <c r="Q20" s="53">
        <f t="shared" si="3"/>
        <v>0</v>
      </c>
      <c r="R20" s="53">
        <f t="shared" si="3"/>
        <v>0</v>
      </c>
      <c r="S20" s="53">
        <f t="shared" si="3"/>
        <v>0</v>
      </c>
      <c r="T20" s="53">
        <f t="shared" si="3"/>
        <v>0</v>
      </c>
      <c r="U20" s="53">
        <f t="shared" si="3"/>
        <v>0</v>
      </c>
      <c r="V20" s="53">
        <f t="shared" si="3"/>
        <v>0</v>
      </c>
      <c r="W20" s="53">
        <f t="shared" si="3"/>
        <v>0</v>
      </c>
      <c r="X20" s="53">
        <f t="shared" si="3"/>
        <v>0</v>
      </c>
      <c r="Y20" s="53">
        <f t="shared" si="3"/>
        <v>0</v>
      </c>
      <c r="Z20" s="53">
        <f t="shared" si="3"/>
        <v>0</v>
      </c>
      <c r="AA20" s="53">
        <f t="shared" si="3"/>
        <v>0</v>
      </c>
      <c r="AB20" s="53">
        <f t="shared" si="3"/>
        <v>64.8</v>
      </c>
      <c r="AC20" s="53">
        <f t="shared" si="3"/>
        <v>8</v>
      </c>
      <c r="AD20" s="53">
        <f t="shared" si="4"/>
        <v>8</v>
      </c>
      <c r="AE20" s="53">
        <f t="shared" si="4"/>
        <v>8</v>
      </c>
      <c r="AF20" s="53">
        <f t="shared" si="4"/>
        <v>8</v>
      </c>
      <c r="AG20" s="53">
        <f t="shared" si="4"/>
        <v>8</v>
      </c>
      <c r="AH20" s="53">
        <f t="shared" si="4"/>
        <v>8</v>
      </c>
      <c r="AI20" s="53">
        <f t="shared" si="4"/>
        <v>8</v>
      </c>
      <c r="AJ20" s="53">
        <f t="shared" si="4"/>
        <v>8</v>
      </c>
      <c r="AK20" s="53">
        <f t="shared" si="4"/>
        <v>8</v>
      </c>
      <c r="AL20" s="53">
        <f t="shared" si="4"/>
        <v>8</v>
      </c>
      <c r="AM20" s="53">
        <f t="shared" si="4"/>
        <v>8</v>
      </c>
      <c r="AN20" s="53">
        <f t="shared" si="4"/>
        <v>8</v>
      </c>
      <c r="AO20" s="53">
        <f t="shared" si="4"/>
        <v>8</v>
      </c>
      <c r="AP20" s="53">
        <f t="shared" si="4"/>
        <v>8</v>
      </c>
      <c r="AQ20" s="53">
        <f t="shared" si="4"/>
        <v>8</v>
      </c>
      <c r="AR20" s="50">
        <f t="shared" si="5"/>
        <v>2.3481592835495165E-4</v>
      </c>
    </row>
    <row r="21" spans="1:44">
      <c r="A21" s="15">
        <f t="shared" si="9"/>
        <v>16</v>
      </c>
      <c r="B21" s="41">
        <f>'[2]Esaki Haz Calcs'!B21</f>
        <v>4.3E-3</v>
      </c>
      <c r="C21" s="41">
        <f t="shared" si="10"/>
        <v>0.99570000000000003</v>
      </c>
      <c r="D21" s="41">
        <f t="shared" si="11"/>
        <v>0.85392363496912571</v>
      </c>
      <c r="E21" s="41">
        <f t="shared" si="12"/>
        <v>0.14607636503087429</v>
      </c>
      <c r="F21" s="41">
        <f t="shared" si="13"/>
        <v>3.6877288644845243E-3</v>
      </c>
      <c r="G21" s="51">
        <f t="shared" si="14"/>
        <v>0.6</v>
      </c>
      <c r="H21" s="17">
        <f t="shared" si="6"/>
        <v>6.3674943843186949E-2</v>
      </c>
      <c r="I21" s="17">
        <f t="shared" si="7"/>
        <v>1.6325056156813053E-2</v>
      </c>
      <c r="J21" s="17">
        <f t="shared" si="8"/>
        <v>6.0202380803810289E-5</v>
      </c>
      <c r="K21" s="49">
        <f t="shared" si="2"/>
        <v>8</v>
      </c>
      <c r="L21" s="23">
        <v>100</v>
      </c>
      <c r="M21" s="23">
        <v>108</v>
      </c>
      <c r="N21" s="52">
        <f t="shared" si="3"/>
        <v>0</v>
      </c>
      <c r="O21" s="53">
        <f t="shared" si="3"/>
        <v>0</v>
      </c>
      <c r="P21" s="53">
        <f t="shared" si="3"/>
        <v>0</v>
      </c>
      <c r="Q21" s="53">
        <f t="shared" si="3"/>
        <v>0</v>
      </c>
      <c r="R21" s="53">
        <f t="shared" si="3"/>
        <v>0</v>
      </c>
      <c r="S21" s="53">
        <f t="shared" si="3"/>
        <v>0</v>
      </c>
      <c r="T21" s="53">
        <f t="shared" si="3"/>
        <v>0</v>
      </c>
      <c r="U21" s="53">
        <f t="shared" si="3"/>
        <v>0</v>
      </c>
      <c r="V21" s="53">
        <f t="shared" si="3"/>
        <v>0</v>
      </c>
      <c r="W21" s="53">
        <f t="shared" si="3"/>
        <v>0</v>
      </c>
      <c r="X21" s="53">
        <f t="shared" si="3"/>
        <v>0</v>
      </c>
      <c r="Y21" s="53">
        <f t="shared" si="3"/>
        <v>0</v>
      </c>
      <c r="Z21" s="53">
        <f t="shared" si="3"/>
        <v>0</v>
      </c>
      <c r="AA21" s="53">
        <f t="shared" si="3"/>
        <v>0</v>
      </c>
      <c r="AB21" s="53">
        <f t="shared" si="3"/>
        <v>0</v>
      </c>
      <c r="AC21" s="53">
        <f t="shared" ref="X21:AM35" si="15">IF($A21&gt;AC$4,0,IF($A21&lt;AC$4,$K21,$M21*$G21))</f>
        <v>64.8</v>
      </c>
      <c r="AD21" s="53">
        <f t="shared" si="15"/>
        <v>8</v>
      </c>
      <c r="AE21" s="53">
        <f t="shared" si="15"/>
        <v>8</v>
      </c>
      <c r="AF21" s="53">
        <f t="shared" si="15"/>
        <v>8</v>
      </c>
      <c r="AG21" s="53">
        <f t="shared" si="15"/>
        <v>8</v>
      </c>
      <c r="AH21" s="53">
        <f t="shared" si="4"/>
        <v>8</v>
      </c>
      <c r="AI21" s="53">
        <f t="shared" si="4"/>
        <v>8</v>
      </c>
      <c r="AJ21" s="53">
        <f t="shared" si="4"/>
        <v>8</v>
      </c>
      <c r="AK21" s="53">
        <f t="shared" si="4"/>
        <v>8</v>
      </c>
      <c r="AL21" s="53">
        <f t="shared" si="4"/>
        <v>8</v>
      </c>
      <c r="AM21" s="53">
        <f t="shared" si="4"/>
        <v>8</v>
      </c>
      <c r="AN21" s="53">
        <f t="shared" si="4"/>
        <v>8</v>
      </c>
      <c r="AO21" s="53">
        <f t="shared" si="4"/>
        <v>8</v>
      </c>
      <c r="AP21" s="53">
        <f t="shared" si="4"/>
        <v>8</v>
      </c>
      <c r="AQ21" s="53">
        <f t="shared" si="4"/>
        <v>8</v>
      </c>
      <c r="AR21" s="50">
        <f t="shared" si="5"/>
        <v>2.0664899746827248E-4</v>
      </c>
    </row>
    <row r="22" spans="1:44">
      <c r="A22" s="15">
        <f t="shared" si="9"/>
        <v>17</v>
      </c>
      <c r="B22" s="41">
        <f>'[2]Esaki Haz Calcs'!B22</f>
        <v>3.7000000000000002E-3</v>
      </c>
      <c r="C22" s="41">
        <f t="shared" si="10"/>
        <v>0.99629999999999996</v>
      </c>
      <c r="D22" s="41">
        <f t="shared" si="11"/>
        <v>0.8507641175197399</v>
      </c>
      <c r="E22" s="41">
        <f t="shared" si="12"/>
        <v>0.1492358824802601</v>
      </c>
      <c r="F22" s="41">
        <f t="shared" si="13"/>
        <v>3.1595174493857653E-3</v>
      </c>
      <c r="G22" s="51">
        <f t="shared" si="14"/>
        <v>0.6</v>
      </c>
      <c r="H22" s="17">
        <f t="shared" si="6"/>
        <v>6.5405240128819875E-2</v>
      </c>
      <c r="I22" s="17">
        <f t="shared" si="7"/>
        <v>1.4594759871180127E-2</v>
      </c>
      <c r="J22" s="17">
        <f t="shared" si="8"/>
        <v>4.6112398482588752E-5</v>
      </c>
      <c r="K22" s="49">
        <f t="shared" si="2"/>
        <v>8</v>
      </c>
      <c r="L22" s="23">
        <v>100</v>
      </c>
      <c r="M22" s="23">
        <v>108</v>
      </c>
      <c r="N22" s="52">
        <f t="shared" ref="N22:W35" si="16">IF($A22&gt;N$4,0,IF($A22&lt;N$4,$K22,$M22*$G22))</f>
        <v>0</v>
      </c>
      <c r="O22" s="53">
        <f t="shared" si="16"/>
        <v>0</v>
      </c>
      <c r="P22" s="53">
        <f t="shared" si="16"/>
        <v>0</v>
      </c>
      <c r="Q22" s="53">
        <f t="shared" si="16"/>
        <v>0</v>
      </c>
      <c r="R22" s="53">
        <f t="shared" si="16"/>
        <v>0</v>
      </c>
      <c r="S22" s="53">
        <f t="shared" si="16"/>
        <v>0</v>
      </c>
      <c r="T22" s="53">
        <f t="shared" si="16"/>
        <v>0</v>
      </c>
      <c r="U22" s="53">
        <f t="shared" si="16"/>
        <v>0</v>
      </c>
      <c r="V22" s="53">
        <f t="shared" si="16"/>
        <v>0</v>
      </c>
      <c r="W22" s="53">
        <f t="shared" si="16"/>
        <v>0</v>
      </c>
      <c r="X22" s="53">
        <f t="shared" si="15"/>
        <v>0</v>
      </c>
      <c r="Y22" s="53">
        <f t="shared" si="15"/>
        <v>0</v>
      </c>
      <c r="Z22" s="53">
        <f t="shared" si="15"/>
        <v>0</v>
      </c>
      <c r="AA22" s="53">
        <f t="shared" si="15"/>
        <v>0</v>
      </c>
      <c r="AB22" s="53">
        <f t="shared" si="15"/>
        <v>0</v>
      </c>
      <c r="AC22" s="53">
        <f t="shared" si="15"/>
        <v>0</v>
      </c>
      <c r="AD22" s="53">
        <f t="shared" si="15"/>
        <v>64.8</v>
      </c>
      <c r="AE22" s="53">
        <f t="shared" si="15"/>
        <v>8</v>
      </c>
      <c r="AF22" s="53">
        <f t="shared" si="15"/>
        <v>8</v>
      </c>
      <c r="AG22" s="53">
        <f t="shared" si="15"/>
        <v>8</v>
      </c>
      <c r="AH22" s="53">
        <f t="shared" si="15"/>
        <v>8</v>
      </c>
      <c r="AI22" s="53">
        <f t="shared" si="15"/>
        <v>8</v>
      </c>
      <c r="AJ22" s="53">
        <f t="shared" si="15"/>
        <v>8</v>
      </c>
      <c r="AK22" s="53">
        <f t="shared" si="15"/>
        <v>8</v>
      </c>
      <c r="AL22" s="53">
        <f t="shared" si="15"/>
        <v>8</v>
      </c>
      <c r="AM22" s="53">
        <f t="shared" si="15"/>
        <v>8</v>
      </c>
      <c r="AN22" s="53">
        <f t="shared" ref="AH22:AQ35" si="17">IF($A22&gt;AN$4,0,IF($A22&lt;AN$4,$K22,$M22*$G22))</f>
        <v>8</v>
      </c>
      <c r="AO22" s="53">
        <f t="shared" si="17"/>
        <v>8</v>
      </c>
      <c r="AP22" s="53">
        <f t="shared" si="17"/>
        <v>8</v>
      </c>
      <c r="AQ22" s="53">
        <f t="shared" si="17"/>
        <v>8</v>
      </c>
      <c r="AR22" s="50">
        <f t="shared" si="5"/>
        <v>1.024674685688812E-4</v>
      </c>
    </row>
    <row r="23" spans="1:44">
      <c r="A23" s="15">
        <f t="shared" si="9"/>
        <v>18</v>
      </c>
      <c r="B23" s="41">
        <f>'[2]Esaki Haz Calcs'!B23</f>
        <v>1.8E-3</v>
      </c>
      <c r="C23" s="41">
        <f t="shared" si="10"/>
        <v>0.99819999999999998</v>
      </c>
      <c r="D23" s="41">
        <f t="shared" si="11"/>
        <v>0.84923274210820432</v>
      </c>
      <c r="E23" s="41">
        <f t="shared" si="12"/>
        <v>0.15076725789179568</v>
      </c>
      <c r="F23" s="41">
        <f t="shared" si="13"/>
        <v>1.5313754115355317E-3</v>
      </c>
      <c r="G23" s="51">
        <f t="shared" si="14"/>
        <v>0.6</v>
      </c>
      <c r="H23" s="17">
        <f t="shared" si="6"/>
        <v>6.6912050302633252E-2</v>
      </c>
      <c r="I23" s="17">
        <f t="shared" si="7"/>
        <v>1.3087949697366749E-2</v>
      </c>
      <c r="J23" s="17">
        <f t="shared" si="8"/>
        <v>2.0042564353961345E-5</v>
      </c>
      <c r="K23" s="49">
        <f t="shared" si="2"/>
        <v>8</v>
      </c>
      <c r="L23" s="23">
        <v>100</v>
      </c>
      <c r="M23" s="23">
        <v>108</v>
      </c>
      <c r="N23" s="52">
        <f t="shared" si="16"/>
        <v>0</v>
      </c>
      <c r="O23" s="53">
        <f t="shared" si="16"/>
        <v>0</v>
      </c>
      <c r="P23" s="53">
        <f t="shared" si="16"/>
        <v>0</v>
      </c>
      <c r="Q23" s="53">
        <f t="shared" si="16"/>
        <v>0</v>
      </c>
      <c r="R23" s="53">
        <f t="shared" si="16"/>
        <v>0</v>
      </c>
      <c r="S23" s="53">
        <f t="shared" si="16"/>
        <v>0</v>
      </c>
      <c r="T23" s="53">
        <f t="shared" si="16"/>
        <v>0</v>
      </c>
      <c r="U23" s="53">
        <f t="shared" si="16"/>
        <v>0</v>
      </c>
      <c r="V23" s="53">
        <f t="shared" si="16"/>
        <v>0</v>
      </c>
      <c r="W23" s="53">
        <f t="shared" si="16"/>
        <v>0</v>
      </c>
      <c r="X23" s="53">
        <f t="shared" si="15"/>
        <v>0</v>
      </c>
      <c r="Y23" s="53">
        <f t="shared" si="15"/>
        <v>0</v>
      </c>
      <c r="Z23" s="53">
        <f t="shared" si="15"/>
        <v>0</v>
      </c>
      <c r="AA23" s="53">
        <f t="shared" si="15"/>
        <v>0</v>
      </c>
      <c r="AB23" s="53">
        <f t="shared" si="15"/>
        <v>0</v>
      </c>
      <c r="AC23" s="53">
        <f t="shared" si="15"/>
        <v>0</v>
      </c>
      <c r="AD23" s="53">
        <f t="shared" si="15"/>
        <v>0</v>
      </c>
      <c r="AE23" s="53">
        <f t="shared" si="15"/>
        <v>64.8</v>
      </c>
      <c r="AF23" s="53">
        <f t="shared" si="15"/>
        <v>8</v>
      </c>
      <c r="AG23" s="53">
        <f t="shared" si="15"/>
        <v>8</v>
      </c>
      <c r="AH23" s="53">
        <f t="shared" si="17"/>
        <v>8</v>
      </c>
      <c r="AI23" s="53">
        <f t="shared" si="17"/>
        <v>8</v>
      </c>
      <c r="AJ23" s="53">
        <f t="shared" si="17"/>
        <v>8</v>
      </c>
      <c r="AK23" s="53">
        <f t="shared" si="17"/>
        <v>8</v>
      </c>
      <c r="AL23" s="53">
        <f t="shared" si="17"/>
        <v>8</v>
      </c>
      <c r="AM23" s="53">
        <f t="shared" si="17"/>
        <v>8</v>
      </c>
      <c r="AN23" s="53">
        <f t="shared" si="17"/>
        <v>8</v>
      </c>
      <c r="AO23" s="53">
        <f t="shared" si="17"/>
        <v>8</v>
      </c>
      <c r="AP23" s="53">
        <f t="shared" si="17"/>
        <v>8</v>
      </c>
      <c r="AQ23" s="53">
        <f t="shared" si="17"/>
        <v>8</v>
      </c>
      <c r="AR23" s="50">
        <f t="shared" si="5"/>
        <v>8.1122050382269632E-5</v>
      </c>
    </row>
    <row r="24" spans="1:44">
      <c r="A24" s="15">
        <f t="shared" si="9"/>
        <v>19</v>
      </c>
      <c r="B24" s="41">
        <f>'[2]Esaki Haz Calcs'!B24</f>
        <v>1.4E-3</v>
      </c>
      <c r="C24" s="41">
        <f t="shared" si="10"/>
        <v>0.99860000000000004</v>
      </c>
      <c r="D24" s="41">
        <f t="shared" si="11"/>
        <v>0.84804381626925285</v>
      </c>
      <c r="E24" s="41">
        <f t="shared" si="12"/>
        <v>0.15195618373074715</v>
      </c>
      <c r="F24" s="41">
        <f t="shared" si="13"/>
        <v>1.1889258389514859E-3</v>
      </c>
      <c r="G24" s="51">
        <f t="shared" si="14"/>
        <v>0.6</v>
      </c>
      <c r="H24" s="17">
        <f t="shared" si="6"/>
        <v>6.8231379724921437E-2</v>
      </c>
      <c r="I24" s="17">
        <f t="shared" si="7"/>
        <v>1.1768620275078565E-2</v>
      </c>
      <c r="J24" s="17">
        <f t="shared" si="8"/>
        <v>1.399201673384925E-5</v>
      </c>
      <c r="K24" s="49">
        <f t="shared" si="2"/>
        <v>8</v>
      </c>
      <c r="L24" s="23">
        <v>100</v>
      </c>
      <c r="M24" s="23">
        <v>108</v>
      </c>
      <c r="N24" s="52">
        <f t="shared" si="16"/>
        <v>0</v>
      </c>
      <c r="O24" s="53">
        <f t="shared" si="16"/>
        <v>0</v>
      </c>
      <c r="P24" s="53">
        <f t="shared" si="16"/>
        <v>0</v>
      </c>
      <c r="Q24" s="53">
        <f t="shared" si="16"/>
        <v>0</v>
      </c>
      <c r="R24" s="53">
        <f t="shared" si="16"/>
        <v>0</v>
      </c>
      <c r="S24" s="53">
        <f t="shared" si="16"/>
        <v>0</v>
      </c>
      <c r="T24" s="53">
        <f t="shared" si="16"/>
        <v>0</v>
      </c>
      <c r="U24" s="53">
        <f t="shared" si="16"/>
        <v>0</v>
      </c>
      <c r="V24" s="53">
        <f t="shared" si="16"/>
        <v>0</v>
      </c>
      <c r="W24" s="53">
        <f t="shared" si="16"/>
        <v>0</v>
      </c>
      <c r="X24" s="53">
        <f t="shared" si="15"/>
        <v>0</v>
      </c>
      <c r="Y24" s="53">
        <f t="shared" si="15"/>
        <v>0</v>
      </c>
      <c r="Z24" s="53">
        <f t="shared" si="15"/>
        <v>0</v>
      </c>
      <c r="AA24" s="53">
        <f t="shared" si="15"/>
        <v>0</v>
      </c>
      <c r="AB24" s="53">
        <f t="shared" si="15"/>
        <v>0</v>
      </c>
      <c r="AC24" s="53">
        <f t="shared" si="15"/>
        <v>0</v>
      </c>
      <c r="AD24" s="53">
        <f t="shared" si="15"/>
        <v>0</v>
      </c>
      <c r="AE24" s="53">
        <f t="shared" si="15"/>
        <v>0</v>
      </c>
      <c r="AF24" s="53">
        <f t="shared" si="15"/>
        <v>64.8</v>
      </c>
      <c r="AG24" s="53">
        <f t="shared" si="15"/>
        <v>8</v>
      </c>
      <c r="AH24" s="53">
        <f t="shared" si="17"/>
        <v>8</v>
      </c>
      <c r="AI24" s="53">
        <f t="shared" si="17"/>
        <v>8</v>
      </c>
      <c r="AJ24" s="53">
        <f t="shared" si="17"/>
        <v>8</v>
      </c>
      <c r="AK24" s="53">
        <f t="shared" si="17"/>
        <v>8</v>
      </c>
      <c r="AL24" s="53">
        <f t="shared" si="17"/>
        <v>8</v>
      </c>
      <c r="AM24" s="53">
        <f t="shared" si="17"/>
        <v>8</v>
      </c>
      <c r="AN24" s="53">
        <f t="shared" si="17"/>
        <v>8</v>
      </c>
      <c r="AO24" s="53">
        <f t="shared" si="17"/>
        <v>8</v>
      </c>
      <c r="AP24" s="53">
        <f t="shared" si="17"/>
        <v>8</v>
      </c>
      <c r="AQ24" s="53">
        <f t="shared" si="17"/>
        <v>8</v>
      </c>
      <c r="AR24" s="50">
        <f t="shared" si="5"/>
        <v>1.1769509675265984E-4</v>
      </c>
    </row>
    <row r="25" spans="1:44">
      <c r="A25" s="15">
        <f t="shared" si="9"/>
        <v>20</v>
      </c>
      <c r="B25" s="41">
        <f>'[2]Esaki Haz Calcs'!B25</f>
        <v>2E-3</v>
      </c>
      <c r="C25" s="41">
        <f t="shared" si="10"/>
        <v>0.998</v>
      </c>
      <c r="D25" s="41">
        <f t="shared" si="11"/>
        <v>0.84634772863671437</v>
      </c>
      <c r="E25" s="41">
        <f t="shared" si="12"/>
        <v>0.15365227136328563</v>
      </c>
      <c r="F25" s="41">
        <f t="shared" si="13"/>
        <v>1.6960876325385057E-3</v>
      </c>
      <c r="G25" s="51">
        <f t="shared" si="14"/>
        <v>0.6</v>
      </c>
      <c r="H25" s="17">
        <f t="shared" si="6"/>
        <v>6.9392108340833536E-2</v>
      </c>
      <c r="I25" s="17">
        <f t="shared" si="7"/>
        <v>1.0607891659166466E-2</v>
      </c>
      <c r="J25" s="17">
        <f t="shared" si="8"/>
        <v>1.7991913850420613E-5</v>
      </c>
      <c r="K25" s="49">
        <f t="shared" si="2"/>
        <v>8</v>
      </c>
      <c r="L25" s="23">
        <v>100</v>
      </c>
      <c r="M25" s="23">
        <v>108</v>
      </c>
      <c r="N25" s="52">
        <f t="shared" si="16"/>
        <v>0</v>
      </c>
      <c r="O25" s="53">
        <f t="shared" si="16"/>
        <v>0</v>
      </c>
      <c r="P25" s="53">
        <f t="shared" si="16"/>
        <v>0</v>
      </c>
      <c r="Q25" s="53">
        <f t="shared" si="16"/>
        <v>0</v>
      </c>
      <c r="R25" s="53">
        <f t="shared" si="16"/>
        <v>0</v>
      </c>
      <c r="S25" s="53">
        <f t="shared" si="16"/>
        <v>0</v>
      </c>
      <c r="T25" s="53">
        <f t="shared" si="16"/>
        <v>0</v>
      </c>
      <c r="U25" s="53">
        <f t="shared" si="16"/>
        <v>0</v>
      </c>
      <c r="V25" s="53">
        <f t="shared" si="16"/>
        <v>0</v>
      </c>
      <c r="W25" s="53">
        <f t="shared" si="16"/>
        <v>0</v>
      </c>
      <c r="X25" s="53">
        <f t="shared" si="15"/>
        <v>0</v>
      </c>
      <c r="Y25" s="53">
        <f t="shared" si="15"/>
        <v>0</v>
      </c>
      <c r="Z25" s="53">
        <f t="shared" si="15"/>
        <v>0</v>
      </c>
      <c r="AA25" s="53">
        <f t="shared" si="15"/>
        <v>0</v>
      </c>
      <c r="AB25" s="53">
        <f t="shared" si="15"/>
        <v>0</v>
      </c>
      <c r="AC25" s="53">
        <f t="shared" si="15"/>
        <v>0</v>
      </c>
      <c r="AD25" s="53">
        <f t="shared" si="15"/>
        <v>0</v>
      </c>
      <c r="AE25" s="53">
        <f t="shared" si="15"/>
        <v>0</v>
      </c>
      <c r="AF25" s="53">
        <f t="shared" si="15"/>
        <v>0</v>
      </c>
      <c r="AG25" s="53">
        <f t="shared" si="15"/>
        <v>64.8</v>
      </c>
      <c r="AH25" s="53">
        <f t="shared" si="17"/>
        <v>8</v>
      </c>
      <c r="AI25" s="53">
        <f t="shared" si="17"/>
        <v>8</v>
      </c>
      <c r="AJ25" s="53">
        <f t="shared" si="17"/>
        <v>8</v>
      </c>
      <c r="AK25" s="53">
        <f t="shared" si="17"/>
        <v>8</v>
      </c>
      <c r="AL25" s="53">
        <f t="shared" si="17"/>
        <v>8</v>
      </c>
      <c r="AM25" s="53">
        <f t="shared" si="17"/>
        <v>8</v>
      </c>
      <c r="AN25" s="53">
        <f t="shared" si="17"/>
        <v>8</v>
      </c>
      <c r="AO25" s="53">
        <f t="shared" si="17"/>
        <v>8</v>
      </c>
      <c r="AP25" s="53">
        <f t="shared" si="17"/>
        <v>8</v>
      </c>
      <c r="AQ25" s="53">
        <f t="shared" si="17"/>
        <v>8</v>
      </c>
      <c r="AR25" s="50">
        <f t="shared" si="5"/>
        <v>7.1517395159933028E-5</v>
      </c>
    </row>
    <row r="26" spans="1:44">
      <c r="A26" s="15">
        <f t="shared" si="9"/>
        <v>21</v>
      </c>
      <c r="B26" s="41">
        <f>'[2]Esaki Haz Calcs'!B26</f>
        <v>1.1999999999999999E-3</v>
      </c>
      <c r="C26" s="41">
        <f t="shared" si="10"/>
        <v>0.99880000000000002</v>
      </c>
      <c r="D26" s="41">
        <f t="shared" si="11"/>
        <v>0.84533211136235031</v>
      </c>
      <c r="E26" s="41">
        <f t="shared" si="12"/>
        <v>0.15466788863764969</v>
      </c>
      <c r="F26" s="41">
        <f t="shared" si="13"/>
        <v>1.0156172743640572E-3</v>
      </c>
      <c r="G26" s="51">
        <f t="shared" si="14"/>
        <v>0.6</v>
      </c>
      <c r="H26" s="17">
        <f t="shared" si="6"/>
        <v>7.0417663193760305E-2</v>
      </c>
      <c r="I26" s="17">
        <f t="shared" si="7"/>
        <v>9.5823368062396969E-3</v>
      </c>
      <c r="J26" s="17">
        <f t="shared" si="8"/>
        <v>9.7319867891915451E-6</v>
      </c>
      <c r="K26" s="49">
        <f t="shared" si="2"/>
        <v>8</v>
      </c>
      <c r="L26" s="23">
        <v>100</v>
      </c>
      <c r="M26" s="23">
        <v>108</v>
      </c>
      <c r="N26" s="52">
        <f t="shared" si="16"/>
        <v>0</v>
      </c>
      <c r="O26" s="53">
        <f t="shared" si="16"/>
        <v>0</v>
      </c>
      <c r="P26" s="53">
        <f t="shared" si="16"/>
        <v>0</v>
      </c>
      <c r="Q26" s="53">
        <f t="shared" si="16"/>
        <v>0</v>
      </c>
      <c r="R26" s="53">
        <f t="shared" si="16"/>
        <v>0</v>
      </c>
      <c r="S26" s="53">
        <f t="shared" si="16"/>
        <v>0</v>
      </c>
      <c r="T26" s="53">
        <f t="shared" si="16"/>
        <v>0</v>
      </c>
      <c r="U26" s="53">
        <f t="shared" si="16"/>
        <v>0</v>
      </c>
      <c r="V26" s="53">
        <f t="shared" si="16"/>
        <v>0</v>
      </c>
      <c r="W26" s="53">
        <f t="shared" si="16"/>
        <v>0</v>
      </c>
      <c r="X26" s="53">
        <f t="shared" si="15"/>
        <v>0</v>
      </c>
      <c r="Y26" s="53">
        <f t="shared" si="15"/>
        <v>0</v>
      </c>
      <c r="Z26" s="53">
        <f t="shared" si="15"/>
        <v>0</v>
      </c>
      <c r="AA26" s="53">
        <f t="shared" si="15"/>
        <v>0</v>
      </c>
      <c r="AB26" s="53">
        <f t="shared" si="15"/>
        <v>0</v>
      </c>
      <c r="AC26" s="53">
        <f t="shared" si="15"/>
        <v>0</v>
      </c>
      <c r="AD26" s="53">
        <f t="shared" si="15"/>
        <v>0</v>
      </c>
      <c r="AE26" s="53">
        <f t="shared" si="15"/>
        <v>0</v>
      </c>
      <c r="AF26" s="53">
        <f t="shared" si="15"/>
        <v>0</v>
      </c>
      <c r="AG26" s="53">
        <f t="shared" si="15"/>
        <v>0</v>
      </c>
      <c r="AH26" s="53">
        <f t="shared" si="17"/>
        <v>64.8</v>
      </c>
      <c r="AI26" s="53">
        <f t="shared" si="17"/>
        <v>8</v>
      </c>
      <c r="AJ26" s="53">
        <f t="shared" si="17"/>
        <v>8</v>
      </c>
      <c r="AK26" s="53">
        <f t="shared" si="17"/>
        <v>8</v>
      </c>
      <c r="AL26" s="53">
        <f t="shared" si="17"/>
        <v>8</v>
      </c>
      <c r="AM26" s="53">
        <f t="shared" si="17"/>
        <v>8</v>
      </c>
      <c r="AN26" s="53">
        <f t="shared" si="17"/>
        <v>8</v>
      </c>
      <c r="AO26" s="53">
        <f t="shared" si="17"/>
        <v>8</v>
      </c>
      <c r="AP26" s="53">
        <f t="shared" si="17"/>
        <v>8</v>
      </c>
      <c r="AQ26" s="53">
        <f t="shared" si="17"/>
        <v>8</v>
      </c>
      <c r="AR26" s="50">
        <f t="shared" si="5"/>
        <v>2.411808284625679E-5</v>
      </c>
    </row>
    <row r="27" spans="1:44">
      <c r="A27" s="15">
        <f t="shared" si="9"/>
        <v>22</v>
      </c>
      <c r="B27" s="41">
        <f>'[2]Esaki Haz Calcs'!B27</f>
        <v>4.0000000000000002E-4</v>
      </c>
      <c r="C27" s="41">
        <f t="shared" si="10"/>
        <v>0.99960000000000004</v>
      </c>
      <c r="D27" s="41">
        <f t="shared" si="11"/>
        <v>0.84499397851780544</v>
      </c>
      <c r="E27" s="41">
        <f t="shared" si="12"/>
        <v>0.15500602148219456</v>
      </c>
      <c r="F27" s="41">
        <f t="shared" si="13"/>
        <v>3.3813284454494016E-4</v>
      </c>
      <c r="G27" s="51">
        <f t="shared" si="14"/>
        <v>0.6</v>
      </c>
      <c r="H27" s="17">
        <f t="shared" si="6"/>
        <v>7.1327240862137931E-2</v>
      </c>
      <c r="I27" s="17">
        <f t="shared" si="7"/>
        <v>8.6727591378620711E-3</v>
      </c>
      <c r="J27" s="17">
        <f t="shared" si="8"/>
        <v>2.932544717338425E-6</v>
      </c>
      <c r="K27" s="49">
        <f t="shared" si="2"/>
        <v>8</v>
      </c>
      <c r="L27" s="23">
        <v>100</v>
      </c>
      <c r="M27" s="23">
        <v>108</v>
      </c>
      <c r="N27" s="52">
        <f t="shared" si="16"/>
        <v>0</v>
      </c>
      <c r="O27" s="53">
        <f t="shared" si="16"/>
        <v>0</v>
      </c>
      <c r="P27" s="53">
        <f t="shared" si="16"/>
        <v>0</v>
      </c>
      <c r="Q27" s="53">
        <f t="shared" si="16"/>
        <v>0</v>
      </c>
      <c r="R27" s="53">
        <f t="shared" si="16"/>
        <v>0</v>
      </c>
      <c r="S27" s="53">
        <f t="shared" si="16"/>
        <v>0</v>
      </c>
      <c r="T27" s="53">
        <f t="shared" si="16"/>
        <v>0</v>
      </c>
      <c r="U27" s="53">
        <f t="shared" si="16"/>
        <v>0</v>
      </c>
      <c r="V27" s="53">
        <f t="shared" si="16"/>
        <v>0</v>
      </c>
      <c r="W27" s="53">
        <f t="shared" si="16"/>
        <v>0</v>
      </c>
      <c r="X27" s="53">
        <f t="shared" si="15"/>
        <v>0</v>
      </c>
      <c r="Y27" s="53">
        <f t="shared" si="15"/>
        <v>0</v>
      </c>
      <c r="Z27" s="53">
        <f t="shared" si="15"/>
        <v>0</v>
      </c>
      <c r="AA27" s="53">
        <f t="shared" si="15"/>
        <v>0</v>
      </c>
      <c r="AB27" s="53">
        <f t="shared" si="15"/>
        <v>0</v>
      </c>
      <c r="AC27" s="53">
        <f t="shared" si="15"/>
        <v>0</v>
      </c>
      <c r="AD27" s="53">
        <f t="shared" si="15"/>
        <v>0</v>
      </c>
      <c r="AE27" s="53">
        <f t="shared" si="15"/>
        <v>0</v>
      </c>
      <c r="AF27" s="53">
        <f t="shared" si="15"/>
        <v>0</v>
      </c>
      <c r="AG27" s="53">
        <f t="shared" si="15"/>
        <v>0</v>
      </c>
      <c r="AH27" s="53">
        <f t="shared" si="17"/>
        <v>0</v>
      </c>
      <c r="AI27" s="53">
        <f t="shared" si="17"/>
        <v>64.8</v>
      </c>
      <c r="AJ27" s="53">
        <f t="shared" si="17"/>
        <v>8</v>
      </c>
      <c r="AK27" s="53">
        <f t="shared" si="17"/>
        <v>8</v>
      </c>
      <c r="AL27" s="53">
        <f t="shared" si="17"/>
        <v>8</v>
      </c>
      <c r="AM27" s="53">
        <f t="shared" si="17"/>
        <v>8</v>
      </c>
      <c r="AN27" s="53">
        <f t="shared" si="17"/>
        <v>8</v>
      </c>
      <c r="AO27" s="53">
        <f t="shared" si="17"/>
        <v>8</v>
      </c>
      <c r="AP27" s="53">
        <f t="shared" si="17"/>
        <v>8</v>
      </c>
      <c r="AQ27" s="53">
        <f t="shared" si="17"/>
        <v>8</v>
      </c>
      <c r="AR27" s="50">
        <f t="shared" si="5"/>
        <v>6.0955089892565364E-6</v>
      </c>
    </row>
    <row r="28" spans="1:44">
      <c r="A28" s="15">
        <f t="shared" si="9"/>
        <v>23</v>
      </c>
      <c r="B28" s="41">
        <f>'[2]Esaki Haz Calcs'!B28</f>
        <v>1E-4</v>
      </c>
      <c r="C28" s="41">
        <f t="shared" si="10"/>
        <v>0.99990000000000001</v>
      </c>
      <c r="D28" s="41">
        <f t="shared" si="11"/>
        <v>0.84490947911995362</v>
      </c>
      <c r="E28" s="41">
        <f t="shared" si="12"/>
        <v>0.15509052088004638</v>
      </c>
      <c r="F28" s="41">
        <f t="shared" si="13"/>
        <v>8.4499397851780551E-5</v>
      </c>
      <c r="G28" s="51">
        <f t="shared" si="14"/>
        <v>0.6</v>
      </c>
      <c r="H28" s="17">
        <f t="shared" si="6"/>
        <v>7.2136715103563231E-2</v>
      </c>
      <c r="I28" s="17">
        <f t="shared" si="7"/>
        <v>7.8632848964367702E-3</v>
      </c>
      <c r="J28" s="17">
        <f t="shared" si="8"/>
        <v>6.6444283888590764E-7</v>
      </c>
      <c r="K28" s="49">
        <f t="shared" si="2"/>
        <v>8</v>
      </c>
      <c r="L28" s="23">
        <v>100</v>
      </c>
      <c r="M28" s="23">
        <v>108</v>
      </c>
      <c r="N28" s="52">
        <f t="shared" si="16"/>
        <v>0</v>
      </c>
      <c r="O28" s="53">
        <f t="shared" si="16"/>
        <v>0</v>
      </c>
      <c r="P28" s="53">
        <f t="shared" si="16"/>
        <v>0</v>
      </c>
      <c r="Q28" s="53">
        <f t="shared" si="16"/>
        <v>0</v>
      </c>
      <c r="R28" s="53">
        <f t="shared" si="16"/>
        <v>0</v>
      </c>
      <c r="S28" s="53">
        <f t="shared" si="16"/>
        <v>0</v>
      </c>
      <c r="T28" s="53">
        <f t="shared" si="16"/>
        <v>0</v>
      </c>
      <c r="U28" s="53">
        <f t="shared" si="16"/>
        <v>0</v>
      </c>
      <c r="V28" s="53">
        <f t="shared" si="16"/>
        <v>0</v>
      </c>
      <c r="W28" s="53">
        <f t="shared" si="16"/>
        <v>0</v>
      </c>
      <c r="X28" s="53">
        <f t="shared" si="15"/>
        <v>0</v>
      </c>
      <c r="Y28" s="53">
        <f t="shared" si="15"/>
        <v>0</v>
      </c>
      <c r="Z28" s="53">
        <f t="shared" si="15"/>
        <v>0</v>
      </c>
      <c r="AA28" s="53">
        <f t="shared" si="15"/>
        <v>0</v>
      </c>
      <c r="AB28" s="53">
        <f t="shared" si="15"/>
        <v>0</v>
      </c>
      <c r="AC28" s="53">
        <f t="shared" si="15"/>
        <v>0</v>
      </c>
      <c r="AD28" s="53">
        <f t="shared" si="15"/>
        <v>0</v>
      </c>
      <c r="AE28" s="53">
        <f t="shared" si="15"/>
        <v>0</v>
      </c>
      <c r="AF28" s="53">
        <f t="shared" si="15"/>
        <v>0</v>
      </c>
      <c r="AG28" s="53">
        <f t="shared" si="15"/>
        <v>0</v>
      </c>
      <c r="AH28" s="53">
        <f t="shared" si="17"/>
        <v>0</v>
      </c>
      <c r="AI28" s="53">
        <f t="shared" si="17"/>
        <v>0</v>
      </c>
      <c r="AJ28" s="53">
        <f t="shared" si="17"/>
        <v>64.8</v>
      </c>
      <c r="AK28" s="53">
        <f t="shared" si="17"/>
        <v>8</v>
      </c>
      <c r="AL28" s="53">
        <f t="shared" si="17"/>
        <v>8</v>
      </c>
      <c r="AM28" s="53">
        <f t="shared" si="17"/>
        <v>8</v>
      </c>
      <c r="AN28" s="53">
        <f t="shared" si="17"/>
        <v>8</v>
      </c>
      <c r="AO28" s="53">
        <f t="shared" si="17"/>
        <v>8</v>
      </c>
      <c r="AP28" s="53">
        <f t="shared" si="17"/>
        <v>8</v>
      </c>
      <c r="AQ28" s="53">
        <f t="shared" si="17"/>
        <v>8</v>
      </c>
      <c r="AR28" s="50">
        <f t="shared" si="5"/>
        <v>1.2311906094056012E-5</v>
      </c>
    </row>
    <row r="29" spans="1:44">
      <c r="A29" s="15">
        <f t="shared" si="9"/>
        <v>24</v>
      </c>
      <c r="B29" s="41">
        <f>'[2]Esaki Haz Calcs'!B29</f>
        <v>2.0000000000000001E-4</v>
      </c>
      <c r="C29" s="41">
        <f t="shared" si="10"/>
        <v>0.99980000000000002</v>
      </c>
      <c r="D29" s="41">
        <f t="shared" si="11"/>
        <v>0.84474049722412969</v>
      </c>
      <c r="E29" s="41">
        <f t="shared" si="12"/>
        <v>0.15525950277587031</v>
      </c>
      <c r="F29" s="41">
        <f t="shared" si="13"/>
        <v>1.6898189582399074E-4</v>
      </c>
      <c r="G29" s="51">
        <f t="shared" si="14"/>
        <v>0.6</v>
      </c>
      <c r="H29" s="17">
        <f t="shared" si="6"/>
        <v>7.2859320426135632E-2</v>
      </c>
      <c r="I29" s="17">
        <f t="shared" si="7"/>
        <v>7.1406795738643697E-3</v>
      </c>
      <c r="J29" s="17">
        <f t="shared" si="8"/>
        <v>1.2066455718632475E-6</v>
      </c>
      <c r="K29" s="49">
        <f t="shared" si="2"/>
        <v>8</v>
      </c>
      <c r="L29" s="23">
        <v>100</v>
      </c>
      <c r="M29" s="23">
        <v>108</v>
      </c>
      <c r="N29" s="52">
        <f t="shared" si="16"/>
        <v>0</v>
      </c>
      <c r="O29" s="53">
        <f t="shared" si="16"/>
        <v>0</v>
      </c>
      <c r="P29" s="53">
        <f t="shared" si="16"/>
        <v>0</v>
      </c>
      <c r="Q29" s="53">
        <f t="shared" si="16"/>
        <v>0</v>
      </c>
      <c r="R29" s="53">
        <f t="shared" si="16"/>
        <v>0</v>
      </c>
      <c r="S29" s="53">
        <f t="shared" si="16"/>
        <v>0</v>
      </c>
      <c r="T29" s="53">
        <f t="shared" si="16"/>
        <v>0</v>
      </c>
      <c r="U29" s="53">
        <f t="shared" si="16"/>
        <v>0</v>
      </c>
      <c r="V29" s="53">
        <f t="shared" si="16"/>
        <v>0</v>
      </c>
      <c r="W29" s="53">
        <f t="shared" si="16"/>
        <v>0</v>
      </c>
      <c r="X29" s="53">
        <f t="shared" si="15"/>
        <v>0</v>
      </c>
      <c r="Y29" s="53">
        <f t="shared" si="15"/>
        <v>0</v>
      </c>
      <c r="Z29" s="53">
        <f t="shared" si="15"/>
        <v>0</v>
      </c>
      <c r="AA29" s="53">
        <f t="shared" si="15"/>
        <v>0</v>
      </c>
      <c r="AB29" s="53">
        <f t="shared" si="15"/>
        <v>0</v>
      </c>
      <c r="AC29" s="53">
        <f t="shared" si="15"/>
        <v>0</v>
      </c>
      <c r="AD29" s="53">
        <f t="shared" si="15"/>
        <v>0</v>
      </c>
      <c r="AE29" s="53">
        <f t="shared" si="15"/>
        <v>0</v>
      </c>
      <c r="AF29" s="53">
        <f t="shared" si="15"/>
        <v>0</v>
      </c>
      <c r="AG29" s="53">
        <f t="shared" si="15"/>
        <v>0</v>
      </c>
      <c r="AH29" s="53">
        <f t="shared" si="17"/>
        <v>0</v>
      </c>
      <c r="AI29" s="53">
        <f t="shared" si="17"/>
        <v>0</v>
      </c>
      <c r="AJ29" s="53">
        <f t="shared" si="17"/>
        <v>0</v>
      </c>
      <c r="AK29" s="53">
        <f t="shared" si="17"/>
        <v>64.8</v>
      </c>
      <c r="AL29" s="53">
        <f t="shared" si="17"/>
        <v>8</v>
      </c>
      <c r="AM29" s="53">
        <f t="shared" si="17"/>
        <v>8</v>
      </c>
      <c r="AN29" s="53">
        <f t="shared" si="17"/>
        <v>8</v>
      </c>
      <c r="AO29" s="53">
        <f t="shared" si="17"/>
        <v>8</v>
      </c>
      <c r="AP29" s="53">
        <f t="shared" si="17"/>
        <v>8</v>
      </c>
      <c r="AQ29" s="53">
        <f t="shared" si="17"/>
        <v>8</v>
      </c>
      <c r="AR29" s="50">
        <f t="shared" si="5"/>
        <v>0</v>
      </c>
    </row>
    <row r="30" spans="1:44">
      <c r="A30" s="15">
        <f t="shared" si="9"/>
        <v>25</v>
      </c>
      <c r="B30" s="41">
        <f>'[2]Esaki Haz Calcs'!B30</f>
        <v>0</v>
      </c>
      <c r="C30" s="41">
        <f t="shared" si="10"/>
        <v>1</v>
      </c>
      <c r="D30" s="41">
        <f t="shared" si="11"/>
        <v>0.84474049722412969</v>
      </c>
      <c r="E30" s="41">
        <f t="shared" si="12"/>
        <v>0.15525950277587031</v>
      </c>
      <c r="F30" s="41">
        <f t="shared" si="13"/>
        <v>0</v>
      </c>
      <c r="G30" s="51">
        <f t="shared" si="14"/>
        <v>0.6</v>
      </c>
      <c r="H30" s="17">
        <f t="shared" si="6"/>
        <v>7.350617360456746E-2</v>
      </c>
      <c r="I30" s="17">
        <f t="shared" si="7"/>
        <v>6.493826395432542E-3</v>
      </c>
      <c r="J30" s="17">
        <f t="shared" si="8"/>
        <v>0</v>
      </c>
      <c r="K30" s="49">
        <f t="shared" si="2"/>
        <v>8</v>
      </c>
      <c r="L30" s="23">
        <v>100</v>
      </c>
      <c r="M30" s="23">
        <v>108</v>
      </c>
      <c r="N30" s="52">
        <f t="shared" si="16"/>
        <v>0</v>
      </c>
      <c r="O30" s="53">
        <f t="shared" si="16"/>
        <v>0</v>
      </c>
      <c r="P30" s="53">
        <f t="shared" si="16"/>
        <v>0</v>
      </c>
      <c r="Q30" s="53">
        <f t="shared" si="16"/>
        <v>0</v>
      </c>
      <c r="R30" s="53">
        <f t="shared" si="16"/>
        <v>0</v>
      </c>
      <c r="S30" s="53">
        <f t="shared" si="16"/>
        <v>0</v>
      </c>
      <c r="T30" s="53">
        <f t="shared" si="16"/>
        <v>0</v>
      </c>
      <c r="U30" s="53">
        <f t="shared" si="16"/>
        <v>0</v>
      </c>
      <c r="V30" s="53">
        <f t="shared" si="16"/>
        <v>0</v>
      </c>
      <c r="W30" s="53">
        <f t="shared" si="16"/>
        <v>0</v>
      </c>
      <c r="X30" s="53">
        <f t="shared" si="15"/>
        <v>0</v>
      </c>
      <c r="Y30" s="53">
        <f t="shared" si="15"/>
        <v>0</v>
      </c>
      <c r="Z30" s="53">
        <f t="shared" si="15"/>
        <v>0</v>
      </c>
      <c r="AA30" s="53">
        <f t="shared" si="15"/>
        <v>0</v>
      </c>
      <c r="AB30" s="53">
        <f t="shared" si="15"/>
        <v>0</v>
      </c>
      <c r="AC30" s="53">
        <f t="shared" si="15"/>
        <v>0</v>
      </c>
      <c r="AD30" s="53">
        <f t="shared" si="15"/>
        <v>0</v>
      </c>
      <c r="AE30" s="53">
        <f t="shared" si="15"/>
        <v>0</v>
      </c>
      <c r="AF30" s="53">
        <f t="shared" si="15"/>
        <v>0</v>
      </c>
      <c r="AG30" s="53">
        <f t="shared" si="15"/>
        <v>0</v>
      </c>
      <c r="AH30" s="53">
        <f t="shared" si="17"/>
        <v>0</v>
      </c>
      <c r="AI30" s="53">
        <f t="shared" si="17"/>
        <v>0</v>
      </c>
      <c r="AJ30" s="53">
        <f t="shared" si="17"/>
        <v>0</v>
      </c>
      <c r="AK30" s="53">
        <f t="shared" si="17"/>
        <v>0</v>
      </c>
      <c r="AL30" s="53">
        <f t="shared" si="17"/>
        <v>64.8</v>
      </c>
      <c r="AM30" s="53">
        <f t="shared" si="17"/>
        <v>8</v>
      </c>
      <c r="AN30" s="53">
        <f t="shared" si="17"/>
        <v>8</v>
      </c>
      <c r="AO30" s="53">
        <f t="shared" si="17"/>
        <v>8</v>
      </c>
      <c r="AP30" s="53">
        <f t="shared" si="17"/>
        <v>8</v>
      </c>
      <c r="AQ30" s="53">
        <f t="shared" si="17"/>
        <v>8</v>
      </c>
      <c r="AR30" s="50">
        <f t="shared" si="5"/>
        <v>1.8775204728493814E-5</v>
      </c>
    </row>
    <row r="31" spans="1:44">
      <c r="A31" s="15">
        <f t="shared" si="9"/>
        <v>26</v>
      </c>
      <c r="B31" s="41">
        <f>'[2]Esaki Haz Calcs'!B31</f>
        <v>2.9999999999999997E-4</v>
      </c>
      <c r="C31" s="41">
        <f t="shared" si="10"/>
        <v>0.99970000000000003</v>
      </c>
      <c r="D31" s="41">
        <f t="shared" si="11"/>
        <v>0.84448707507496246</v>
      </c>
      <c r="E31" s="41">
        <f t="shared" si="12"/>
        <v>0.15551292492503754</v>
      </c>
      <c r="F31" s="41">
        <f t="shared" si="13"/>
        <v>2.5342214916723889E-4</v>
      </c>
      <c r="G31" s="51">
        <f t="shared" si="14"/>
        <v>0.6</v>
      </c>
      <c r="H31" s="17">
        <f t="shared" si="6"/>
        <v>7.4086676283783071E-2</v>
      </c>
      <c r="I31" s="17">
        <f t="shared" si="7"/>
        <v>5.9133237162169311E-3</v>
      </c>
      <c r="J31" s="17">
        <f t="shared" si="8"/>
        <v>1.4985672048852985E-6</v>
      </c>
      <c r="K31" s="49">
        <f t="shared" si="2"/>
        <v>8</v>
      </c>
      <c r="L31" s="23">
        <v>100</v>
      </c>
      <c r="M31" s="23">
        <v>108</v>
      </c>
      <c r="N31" s="52">
        <f t="shared" si="16"/>
        <v>0</v>
      </c>
      <c r="O31" s="53">
        <f t="shared" si="16"/>
        <v>0</v>
      </c>
      <c r="P31" s="53">
        <f t="shared" si="16"/>
        <v>0</v>
      </c>
      <c r="Q31" s="53">
        <f t="shared" si="16"/>
        <v>0</v>
      </c>
      <c r="R31" s="53">
        <f t="shared" si="16"/>
        <v>0</v>
      </c>
      <c r="S31" s="53">
        <f t="shared" si="16"/>
        <v>0</v>
      </c>
      <c r="T31" s="53">
        <f t="shared" si="16"/>
        <v>0</v>
      </c>
      <c r="U31" s="53">
        <f t="shared" si="16"/>
        <v>0</v>
      </c>
      <c r="V31" s="53">
        <f t="shared" si="16"/>
        <v>0</v>
      </c>
      <c r="W31" s="53">
        <f t="shared" si="16"/>
        <v>0</v>
      </c>
      <c r="X31" s="53">
        <f t="shared" si="15"/>
        <v>0</v>
      </c>
      <c r="Y31" s="53">
        <f t="shared" si="15"/>
        <v>0</v>
      </c>
      <c r="Z31" s="53">
        <f t="shared" si="15"/>
        <v>0</v>
      </c>
      <c r="AA31" s="53">
        <f t="shared" si="15"/>
        <v>0</v>
      </c>
      <c r="AB31" s="53">
        <f t="shared" si="15"/>
        <v>0</v>
      </c>
      <c r="AC31" s="53">
        <f t="shared" si="15"/>
        <v>0</v>
      </c>
      <c r="AD31" s="53">
        <f t="shared" si="15"/>
        <v>0</v>
      </c>
      <c r="AE31" s="53">
        <f t="shared" si="15"/>
        <v>0</v>
      </c>
      <c r="AF31" s="53">
        <f t="shared" si="15"/>
        <v>0</v>
      </c>
      <c r="AG31" s="53">
        <f t="shared" si="15"/>
        <v>0</v>
      </c>
      <c r="AH31" s="53">
        <f t="shared" si="17"/>
        <v>0</v>
      </c>
      <c r="AI31" s="53">
        <f t="shared" si="17"/>
        <v>0</v>
      </c>
      <c r="AJ31" s="53">
        <f t="shared" si="17"/>
        <v>0</v>
      </c>
      <c r="AK31" s="53">
        <f t="shared" si="17"/>
        <v>0</v>
      </c>
      <c r="AL31" s="53">
        <f t="shared" si="17"/>
        <v>0</v>
      </c>
      <c r="AM31" s="53">
        <f t="shared" si="17"/>
        <v>64.8</v>
      </c>
      <c r="AN31" s="53">
        <f t="shared" si="17"/>
        <v>8</v>
      </c>
      <c r="AO31" s="53">
        <f t="shared" si="17"/>
        <v>8</v>
      </c>
      <c r="AP31" s="53">
        <f t="shared" si="17"/>
        <v>8</v>
      </c>
      <c r="AQ31" s="53">
        <f t="shared" si="17"/>
        <v>8</v>
      </c>
      <c r="AR31" s="50">
        <f t="shared" si="5"/>
        <v>0</v>
      </c>
    </row>
    <row r="32" spans="1:44">
      <c r="A32" s="15">
        <f t="shared" si="9"/>
        <v>27</v>
      </c>
      <c r="B32" s="41">
        <f>'[2]Esaki Haz Calcs'!B32</f>
        <v>0</v>
      </c>
      <c r="C32" s="41">
        <f t="shared" si="10"/>
        <v>1</v>
      </c>
      <c r="D32" s="41">
        <f t="shared" si="11"/>
        <v>0.84448707507496246</v>
      </c>
      <c r="E32" s="41">
        <f t="shared" si="12"/>
        <v>0.15551292492503754</v>
      </c>
      <c r="F32" s="41">
        <f t="shared" si="13"/>
        <v>0</v>
      </c>
      <c r="G32" s="51">
        <f t="shared" si="14"/>
        <v>0.6</v>
      </c>
      <c r="H32" s="17">
        <f t="shared" si="6"/>
        <v>7.4608829163850254E-2</v>
      </c>
      <c r="I32" s="17">
        <f t="shared" si="7"/>
        <v>5.3911708361497473E-3</v>
      </c>
      <c r="J32" s="17">
        <f t="shared" si="8"/>
        <v>0</v>
      </c>
      <c r="K32" s="49">
        <f t="shared" si="2"/>
        <v>8</v>
      </c>
      <c r="L32" s="23">
        <v>100</v>
      </c>
      <c r="M32" s="23">
        <v>108</v>
      </c>
      <c r="N32" s="52">
        <f t="shared" si="16"/>
        <v>0</v>
      </c>
      <c r="O32" s="53">
        <f t="shared" si="16"/>
        <v>0</v>
      </c>
      <c r="P32" s="53">
        <f t="shared" si="16"/>
        <v>0</v>
      </c>
      <c r="Q32" s="53">
        <f t="shared" si="16"/>
        <v>0</v>
      </c>
      <c r="R32" s="53">
        <f t="shared" si="16"/>
        <v>0</v>
      </c>
      <c r="S32" s="53">
        <f t="shared" si="16"/>
        <v>0</v>
      </c>
      <c r="T32" s="53">
        <f t="shared" si="16"/>
        <v>0</v>
      </c>
      <c r="U32" s="53">
        <f t="shared" si="16"/>
        <v>0</v>
      </c>
      <c r="V32" s="53">
        <f t="shared" si="16"/>
        <v>0</v>
      </c>
      <c r="W32" s="53">
        <f t="shared" si="16"/>
        <v>0</v>
      </c>
      <c r="X32" s="53">
        <f t="shared" si="15"/>
        <v>0</v>
      </c>
      <c r="Y32" s="53">
        <f t="shared" si="15"/>
        <v>0</v>
      </c>
      <c r="Z32" s="53">
        <f t="shared" si="15"/>
        <v>0</v>
      </c>
      <c r="AA32" s="53">
        <f t="shared" si="15"/>
        <v>0</v>
      </c>
      <c r="AB32" s="53">
        <f t="shared" si="15"/>
        <v>0</v>
      </c>
      <c r="AC32" s="53">
        <f t="shared" si="15"/>
        <v>0</v>
      </c>
      <c r="AD32" s="53">
        <f t="shared" si="15"/>
        <v>0</v>
      </c>
      <c r="AE32" s="53">
        <f t="shared" si="15"/>
        <v>0</v>
      </c>
      <c r="AF32" s="53">
        <f t="shared" si="15"/>
        <v>0</v>
      </c>
      <c r="AG32" s="53">
        <f t="shared" si="15"/>
        <v>0</v>
      </c>
      <c r="AH32" s="53">
        <f t="shared" si="17"/>
        <v>0</v>
      </c>
      <c r="AI32" s="53">
        <f t="shared" si="17"/>
        <v>0</v>
      </c>
      <c r="AJ32" s="53">
        <f t="shared" si="17"/>
        <v>0</v>
      </c>
      <c r="AK32" s="53">
        <f t="shared" si="17"/>
        <v>0</v>
      </c>
      <c r="AL32" s="53">
        <f t="shared" si="17"/>
        <v>0</v>
      </c>
      <c r="AM32" s="53">
        <f t="shared" si="17"/>
        <v>0</v>
      </c>
      <c r="AN32" s="53">
        <f t="shared" si="17"/>
        <v>64.8</v>
      </c>
      <c r="AO32" s="53">
        <f t="shared" si="17"/>
        <v>8</v>
      </c>
      <c r="AP32" s="53">
        <f t="shared" si="17"/>
        <v>8</v>
      </c>
      <c r="AQ32" s="53">
        <f t="shared" si="17"/>
        <v>8</v>
      </c>
      <c r="AR32" s="50">
        <f t="shared" si="5"/>
        <v>0</v>
      </c>
    </row>
    <row r="33" spans="1:44">
      <c r="A33" s="15">
        <f t="shared" si="9"/>
        <v>28</v>
      </c>
      <c r="B33" s="41">
        <f>'[2]Esaki Haz Calcs'!B33</f>
        <v>0</v>
      </c>
      <c r="C33" s="41">
        <f t="shared" si="10"/>
        <v>1</v>
      </c>
      <c r="D33" s="41">
        <f t="shared" si="11"/>
        <v>0.84448707507496246</v>
      </c>
      <c r="E33" s="41">
        <f t="shared" si="12"/>
        <v>0.15551292492503754</v>
      </c>
      <c r="F33" s="41">
        <f t="shared" si="13"/>
        <v>0</v>
      </c>
      <c r="G33" s="51">
        <f t="shared" si="14"/>
        <v>0.6</v>
      </c>
      <c r="H33" s="17">
        <f t="shared" si="6"/>
        <v>7.5079479636023461E-2</v>
      </c>
      <c r="I33" s="17">
        <f t="shared" si="7"/>
        <v>4.920520363976541E-3</v>
      </c>
      <c r="J33" s="17">
        <f t="shared" si="8"/>
        <v>0</v>
      </c>
      <c r="K33" s="49">
        <f t="shared" si="2"/>
        <v>8</v>
      </c>
      <c r="L33" s="23">
        <v>100</v>
      </c>
      <c r="M33" s="23">
        <v>108</v>
      </c>
      <c r="N33" s="52">
        <f t="shared" si="16"/>
        <v>0</v>
      </c>
      <c r="O33" s="53">
        <f t="shared" si="16"/>
        <v>0</v>
      </c>
      <c r="P33" s="53">
        <f t="shared" si="16"/>
        <v>0</v>
      </c>
      <c r="Q33" s="53">
        <f t="shared" si="16"/>
        <v>0</v>
      </c>
      <c r="R33" s="53">
        <f t="shared" si="16"/>
        <v>0</v>
      </c>
      <c r="S33" s="53">
        <f t="shared" si="16"/>
        <v>0</v>
      </c>
      <c r="T33" s="53">
        <f t="shared" si="16"/>
        <v>0</v>
      </c>
      <c r="U33" s="53">
        <f t="shared" si="16"/>
        <v>0</v>
      </c>
      <c r="V33" s="53">
        <f t="shared" si="16"/>
        <v>0</v>
      </c>
      <c r="W33" s="53">
        <f t="shared" si="16"/>
        <v>0</v>
      </c>
      <c r="X33" s="53">
        <f t="shared" si="15"/>
        <v>0</v>
      </c>
      <c r="Y33" s="53">
        <f t="shared" si="15"/>
        <v>0</v>
      </c>
      <c r="Z33" s="53">
        <f t="shared" si="15"/>
        <v>0</v>
      </c>
      <c r="AA33" s="53">
        <f t="shared" si="15"/>
        <v>0</v>
      </c>
      <c r="AB33" s="53">
        <f t="shared" si="15"/>
        <v>0</v>
      </c>
      <c r="AC33" s="53">
        <f t="shared" si="15"/>
        <v>0</v>
      </c>
      <c r="AD33" s="53">
        <f t="shared" si="15"/>
        <v>0</v>
      </c>
      <c r="AE33" s="53">
        <f t="shared" si="15"/>
        <v>0</v>
      </c>
      <c r="AF33" s="53">
        <f t="shared" si="15"/>
        <v>0</v>
      </c>
      <c r="AG33" s="53">
        <f t="shared" si="15"/>
        <v>0</v>
      </c>
      <c r="AH33" s="53">
        <f t="shared" si="17"/>
        <v>0</v>
      </c>
      <c r="AI33" s="53">
        <f t="shared" si="17"/>
        <v>0</v>
      </c>
      <c r="AJ33" s="53">
        <f t="shared" si="17"/>
        <v>0</v>
      </c>
      <c r="AK33" s="53">
        <f t="shared" si="17"/>
        <v>0</v>
      </c>
      <c r="AL33" s="53">
        <f t="shared" si="17"/>
        <v>0</v>
      </c>
      <c r="AM33" s="53">
        <f t="shared" si="17"/>
        <v>0</v>
      </c>
      <c r="AN33" s="53">
        <f t="shared" si="17"/>
        <v>0</v>
      </c>
      <c r="AO33" s="53">
        <f t="shared" si="17"/>
        <v>64.8</v>
      </c>
      <c r="AP33" s="53">
        <f t="shared" si="17"/>
        <v>8</v>
      </c>
      <c r="AQ33" s="53">
        <f t="shared" si="17"/>
        <v>8</v>
      </c>
      <c r="AR33" s="50">
        <f t="shared" si="5"/>
        <v>0</v>
      </c>
    </row>
    <row r="34" spans="1:44">
      <c r="A34" s="15">
        <f t="shared" si="9"/>
        <v>29</v>
      </c>
      <c r="B34" s="41">
        <f>'[2]Esaki Haz Calcs'!B34</f>
        <v>0</v>
      </c>
      <c r="C34" s="41">
        <f t="shared" si="10"/>
        <v>1</v>
      </c>
      <c r="D34" s="41">
        <f>C34*D33</f>
        <v>0.84448707507496246</v>
      </c>
      <c r="E34" s="41">
        <f t="shared" si="12"/>
        <v>0.15551292492503754</v>
      </c>
      <c r="F34" s="41">
        <f>B34*D33</f>
        <v>0</v>
      </c>
      <c r="G34" s="51">
        <f t="shared" si="14"/>
        <v>0.6</v>
      </c>
      <c r="H34" s="17">
        <f t="shared" si="6"/>
        <v>7.550451876605746E-2</v>
      </c>
      <c r="I34" s="17">
        <f t="shared" si="7"/>
        <v>4.4954812339425415E-3</v>
      </c>
      <c r="J34" s="17">
        <f t="shared" si="8"/>
        <v>0</v>
      </c>
      <c r="K34" s="49">
        <f t="shared" si="2"/>
        <v>8</v>
      </c>
      <c r="L34" s="23">
        <v>100</v>
      </c>
      <c r="M34" s="23">
        <v>108</v>
      </c>
      <c r="N34" s="52">
        <f t="shared" si="16"/>
        <v>0</v>
      </c>
      <c r="O34" s="53">
        <f t="shared" si="16"/>
        <v>0</v>
      </c>
      <c r="P34" s="53">
        <f t="shared" si="16"/>
        <v>0</v>
      </c>
      <c r="Q34" s="53">
        <f t="shared" si="16"/>
        <v>0</v>
      </c>
      <c r="R34" s="53">
        <f t="shared" si="16"/>
        <v>0</v>
      </c>
      <c r="S34" s="53">
        <f t="shared" si="16"/>
        <v>0</v>
      </c>
      <c r="T34" s="53">
        <f t="shared" si="16"/>
        <v>0</v>
      </c>
      <c r="U34" s="53">
        <f t="shared" si="16"/>
        <v>0</v>
      </c>
      <c r="V34" s="53">
        <f t="shared" si="16"/>
        <v>0</v>
      </c>
      <c r="W34" s="53">
        <f t="shared" si="16"/>
        <v>0</v>
      </c>
      <c r="X34" s="53">
        <f t="shared" si="15"/>
        <v>0</v>
      </c>
      <c r="Y34" s="53">
        <f t="shared" si="15"/>
        <v>0</v>
      </c>
      <c r="Z34" s="53">
        <f t="shared" si="15"/>
        <v>0</v>
      </c>
      <c r="AA34" s="53">
        <f t="shared" si="15"/>
        <v>0</v>
      </c>
      <c r="AB34" s="53">
        <f t="shared" si="15"/>
        <v>0</v>
      </c>
      <c r="AC34" s="53">
        <f t="shared" si="15"/>
        <v>0</v>
      </c>
      <c r="AD34" s="53">
        <f t="shared" si="15"/>
        <v>0</v>
      </c>
      <c r="AE34" s="53">
        <f t="shared" si="15"/>
        <v>0</v>
      </c>
      <c r="AF34" s="53">
        <f t="shared" si="15"/>
        <v>0</v>
      </c>
      <c r="AG34" s="53">
        <f t="shared" si="15"/>
        <v>0</v>
      </c>
      <c r="AH34" s="53">
        <f t="shared" si="17"/>
        <v>0</v>
      </c>
      <c r="AI34" s="53">
        <f t="shared" si="17"/>
        <v>0</v>
      </c>
      <c r="AJ34" s="53">
        <f t="shared" si="17"/>
        <v>0</v>
      </c>
      <c r="AK34" s="53">
        <f t="shared" si="17"/>
        <v>0</v>
      </c>
      <c r="AL34" s="53">
        <f t="shared" si="17"/>
        <v>0</v>
      </c>
      <c r="AM34" s="53">
        <f t="shared" si="17"/>
        <v>0</v>
      </c>
      <c r="AN34" s="53">
        <f t="shared" si="17"/>
        <v>0</v>
      </c>
      <c r="AO34" s="53">
        <f t="shared" si="17"/>
        <v>0</v>
      </c>
      <c r="AP34" s="53">
        <f t="shared" si="17"/>
        <v>64.8</v>
      </c>
      <c r="AQ34" s="53">
        <f t="shared" si="17"/>
        <v>8</v>
      </c>
      <c r="AR34" s="50">
        <f t="shared" si="5"/>
        <v>0</v>
      </c>
    </row>
    <row r="35" spans="1:44">
      <c r="A35" s="15">
        <f t="shared" si="9"/>
        <v>30</v>
      </c>
      <c r="B35" s="41">
        <f>'[2]Esaki Haz Calcs'!B35</f>
        <v>0</v>
      </c>
      <c r="C35" s="41">
        <f t="shared" si="10"/>
        <v>1</v>
      </c>
      <c r="D35" s="41">
        <f>C35*D34</f>
        <v>0.84448707507496246</v>
      </c>
      <c r="E35" s="41">
        <f t="shared" si="12"/>
        <v>0.15551292492503754</v>
      </c>
      <c r="F35" s="41">
        <f>B35*D34</f>
        <v>0</v>
      </c>
      <c r="G35" s="51">
        <f t="shared" si="14"/>
        <v>0.6</v>
      </c>
      <c r="H35" s="17">
        <f t="shared" si="6"/>
        <v>7.5889039322625029E-2</v>
      </c>
      <c r="I35" s="17">
        <f t="shared" si="7"/>
        <v>4.1109606773749724E-3</v>
      </c>
      <c r="J35" s="17">
        <f t="shared" si="8"/>
        <v>0</v>
      </c>
      <c r="K35" s="49">
        <f>-B$2*K$5-K5</f>
        <v>108</v>
      </c>
      <c r="L35" s="23">
        <v>100</v>
      </c>
      <c r="M35" s="23">
        <v>108</v>
      </c>
      <c r="N35" s="54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5"/>
        <v>0</v>
      </c>
      <c r="Y35" s="55">
        <f t="shared" si="15"/>
        <v>0</v>
      </c>
      <c r="Z35" s="55">
        <f t="shared" si="15"/>
        <v>0</v>
      </c>
      <c r="AA35" s="55">
        <f t="shared" si="15"/>
        <v>0</v>
      </c>
      <c r="AB35" s="55">
        <f t="shared" si="15"/>
        <v>0</v>
      </c>
      <c r="AC35" s="55">
        <f t="shared" si="15"/>
        <v>0</v>
      </c>
      <c r="AD35" s="55">
        <f t="shared" si="15"/>
        <v>0</v>
      </c>
      <c r="AE35" s="55">
        <f t="shared" si="15"/>
        <v>0</v>
      </c>
      <c r="AF35" s="55">
        <f t="shared" si="15"/>
        <v>0</v>
      </c>
      <c r="AG35" s="55">
        <f t="shared" si="15"/>
        <v>0</v>
      </c>
      <c r="AH35" s="55">
        <f t="shared" si="17"/>
        <v>0</v>
      </c>
      <c r="AI35" s="55">
        <f t="shared" si="17"/>
        <v>0</v>
      </c>
      <c r="AJ35" s="55">
        <f t="shared" si="17"/>
        <v>0</v>
      </c>
      <c r="AK35" s="55">
        <f t="shared" si="17"/>
        <v>0</v>
      </c>
      <c r="AL35" s="55">
        <f t="shared" si="17"/>
        <v>0</v>
      </c>
      <c r="AM35" s="55">
        <f t="shared" si="17"/>
        <v>0</v>
      </c>
      <c r="AN35" s="55">
        <f t="shared" si="17"/>
        <v>0</v>
      </c>
      <c r="AO35" s="55">
        <f t="shared" si="17"/>
        <v>0</v>
      </c>
      <c r="AP35" s="55">
        <f t="shared" si="17"/>
        <v>0</v>
      </c>
      <c r="AQ35" s="55">
        <f t="shared" si="17"/>
        <v>64.8</v>
      </c>
      <c r="AR35" s="50">
        <f t="shared" si="5"/>
        <v>0</v>
      </c>
    </row>
    <row r="36" spans="1:44">
      <c r="B36" s="41"/>
      <c r="D36" s="41"/>
      <c r="F36" s="41"/>
      <c r="G36" s="23"/>
      <c r="H36" s="23"/>
      <c r="I36" s="23"/>
      <c r="J36" s="23"/>
      <c r="K36" s="23"/>
      <c r="L36" s="23"/>
      <c r="M36" s="56" t="s">
        <v>62</v>
      </c>
      <c r="N36" s="57">
        <f t="shared" ref="N36:AQ36" si="18">IRR(N5:N35)</f>
        <v>-0.1359999999999999</v>
      </c>
      <c r="O36" s="17">
        <f t="shared" si="18"/>
        <v>-8.9597794120394592E-2</v>
      </c>
      <c r="P36" s="17">
        <f t="shared" si="18"/>
        <v>-7.542910422853788E-2</v>
      </c>
      <c r="Q36" s="17">
        <f t="shared" si="18"/>
        <v>-3.3597800932971267E-2</v>
      </c>
      <c r="R36" s="17">
        <f t="shared" si="18"/>
        <v>-7.7495378488884326E-3</v>
      </c>
      <c r="S36" s="17">
        <f t="shared" si="18"/>
        <v>9.7319609500594595E-3</v>
      </c>
      <c r="T36" s="17">
        <f t="shared" si="18"/>
        <v>2.2291568544391183E-2</v>
      </c>
      <c r="U36" s="17">
        <f t="shared" si="18"/>
        <v>3.1713435196965678E-2</v>
      </c>
      <c r="V36" s="17">
        <f t="shared" si="18"/>
        <v>3.9013799864327625E-2</v>
      </c>
      <c r="W36" s="17">
        <f t="shared" si="18"/>
        <v>4.4813897887204579E-2</v>
      </c>
      <c r="X36" s="17">
        <f t="shared" si="18"/>
        <v>4.9514842384777991E-2</v>
      </c>
      <c r="Y36" s="17">
        <f t="shared" si="18"/>
        <v>5.3387165366046929E-2</v>
      </c>
      <c r="Z36" s="17">
        <f t="shared" si="18"/>
        <v>5.6619942759066344E-2</v>
      </c>
      <c r="AA36" s="17">
        <f t="shared" si="18"/>
        <v>5.9349294726275703E-2</v>
      </c>
      <c r="AB36" s="17">
        <f t="shared" si="18"/>
        <v>6.1675701995649312E-2</v>
      </c>
      <c r="AC36" s="17">
        <f t="shared" si="18"/>
        <v>6.3674943843186949E-2</v>
      </c>
      <c r="AD36" s="17">
        <f t="shared" si="18"/>
        <v>6.5405240128819875E-2</v>
      </c>
      <c r="AE36" s="17">
        <f t="shared" si="18"/>
        <v>6.6912050302633252E-2</v>
      </c>
      <c r="AF36" s="17">
        <f t="shared" si="18"/>
        <v>6.8231379724921437E-2</v>
      </c>
      <c r="AG36" s="17">
        <f t="shared" si="18"/>
        <v>6.9392108340833536E-2</v>
      </c>
      <c r="AH36" s="17">
        <f t="shared" si="18"/>
        <v>7.0417663193760305E-2</v>
      </c>
      <c r="AI36" s="17">
        <f t="shared" si="18"/>
        <v>7.1327240862137931E-2</v>
      </c>
      <c r="AJ36" s="17">
        <f t="shared" si="18"/>
        <v>7.2136715103563231E-2</v>
      </c>
      <c r="AK36" s="17">
        <f t="shared" si="18"/>
        <v>7.2859320426135632E-2</v>
      </c>
      <c r="AL36" s="17">
        <f t="shared" si="18"/>
        <v>7.350617360456746E-2</v>
      </c>
      <c r="AM36" s="17">
        <f t="shared" si="18"/>
        <v>7.4086676283783071E-2</v>
      </c>
      <c r="AN36" s="17">
        <f t="shared" si="18"/>
        <v>7.4608829163850254E-2</v>
      </c>
      <c r="AO36" s="17">
        <f t="shared" si="18"/>
        <v>7.5079479636023461E-2</v>
      </c>
      <c r="AP36" s="17">
        <f t="shared" si="18"/>
        <v>7.550451876605746E-2</v>
      </c>
      <c r="AQ36" s="17">
        <f t="shared" si="18"/>
        <v>7.5889039322625029E-2</v>
      </c>
      <c r="AR36" s="46"/>
    </row>
    <row r="37" spans="1:44">
      <c r="B37" s="41" t="s">
        <v>63</v>
      </c>
      <c r="D37" s="41"/>
      <c r="F37" s="41"/>
      <c r="G37" s="23"/>
      <c r="H37" s="23"/>
      <c r="I37" s="23"/>
      <c r="J37" s="23"/>
      <c r="K37" s="23"/>
      <c r="L37" s="23"/>
      <c r="M37" s="56" t="s">
        <v>64</v>
      </c>
      <c r="N37" s="50">
        <f>$B2-N36</f>
        <v>0.21599999999999991</v>
      </c>
      <c r="O37" s="17">
        <f>$B2-O36</f>
        <v>0.16959779412039461</v>
      </c>
      <c r="P37" s="17">
        <f>$B2-P36</f>
        <v>0.1554291042285379</v>
      </c>
      <c r="Q37" s="17">
        <f t="shared" ref="Q37:AQ37" si="19">$B2-Q36</f>
        <v>0.11359780093297127</v>
      </c>
      <c r="R37" s="17">
        <f t="shared" si="19"/>
        <v>8.7749537848888434E-2</v>
      </c>
      <c r="S37" s="17">
        <f t="shared" si="19"/>
        <v>7.0268039049940542E-2</v>
      </c>
      <c r="T37" s="17">
        <f t="shared" si="19"/>
        <v>5.7708431455608819E-2</v>
      </c>
      <c r="U37" s="17">
        <f t="shared" si="19"/>
        <v>4.8286564803034324E-2</v>
      </c>
      <c r="V37" s="17">
        <f t="shared" si="19"/>
        <v>4.0986200135672377E-2</v>
      </c>
      <c r="W37" s="17">
        <f t="shared" si="19"/>
        <v>3.5186102112795423E-2</v>
      </c>
      <c r="X37" s="17">
        <f t="shared" si="19"/>
        <v>3.0485157615222011E-2</v>
      </c>
      <c r="Y37" s="17">
        <f t="shared" si="19"/>
        <v>2.6612834633953072E-2</v>
      </c>
      <c r="Z37" s="17">
        <f t="shared" si="19"/>
        <v>2.3380057240933658E-2</v>
      </c>
      <c r="AA37" s="17">
        <f t="shared" si="19"/>
        <v>2.0650705273724299E-2</v>
      </c>
      <c r="AB37" s="17">
        <f t="shared" si="19"/>
        <v>1.8324298004350689E-2</v>
      </c>
      <c r="AC37" s="17">
        <f t="shared" si="19"/>
        <v>1.6325056156813053E-2</v>
      </c>
      <c r="AD37" s="17">
        <f t="shared" si="19"/>
        <v>1.4594759871180127E-2</v>
      </c>
      <c r="AE37" s="17">
        <f t="shared" si="19"/>
        <v>1.3087949697366749E-2</v>
      </c>
      <c r="AF37" s="17">
        <f t="shared" si="19"/>
        <v>1.1768620275078565E-2</v>
      </c>
      <c r="AG37" s="17">
        <f t="shared" si="19"/>
        <v>1.0607891659166466E-2</v>
      </c>
      <c r="AH37" s="17">
        <f t="shared" si="19"/>
        <v>9.5823368062396969E-3</v>
      </c>
      <c r="AI37" s="17">
        <f t="shared" si="19"/>
        <v>8.6727591378620711E-3</v>
      </c>
      <c r="AJ37" s="17">
        <f t="shared" si="19"/>
        <v>7.8632848964367702E-3</v>
      </c>
      <c r="AK37" s="17">
        <f t="shared" si="19"/>
        <v>7.1406795738643697E-3</v>
      </c>
      <c r="AL37" s="17">
        <f t="shared" si="19"/>
        <v>6.493826395432542E-3</v>
      </c>
      <c r="AM37" s="17">
        <f t="shared" si="19"/>
        <v>5.9133237162169311E-3</v>
      </c>
      <c r="AN37" s="17">
        <f t="shared" si="19"/>
        <v>5.3911708361497473E-3</v>
      </c>
      <c r="AO37" s="17">
        <f t="shared" si="19"/>
        <v>4.920520363976541E-3</v>
      </c>
      <c r="AP37" s="17">
        <f t="shared" si="19"/>
        <v>4.4954812339425415E-3</v>
      </c>
      <c r="AQ37" s="17">
        <f t="shared" si="19"/>
        <v>4.1109606773749724E-3</v>
      </c>
      <c r="AR37" s="46"/>
    </row>
    <row r="38" spans="1:44">
      <c r="A38" s="41"/>
      <c r="B38" s="41"/>
      <c r="D38" s="41"/>
      <c r="F38" s="41"/>
      <c r="G38" s="23"/>
      <c r="H38" s="23"/>
      <c r="I38" s="23"/>
      <c r="J38" s="23"/>
      <c r="K38" s="23"/>
      <c r="L38" s="23"/>
    </row>
    <row r="39" spans="1:44">
      <c r="A39" s="41"/>
      <c r="B39" s="41"/>
      <c r="D39" s="41"/>
      <c r="E39" s="41"/>
      <c r="G39" s="23"/>
      <c r="H39" s="23"/>
      <c r="I39" s="23"/>
      <c r="J39" s="23"/>
      <c r="K39" s="23"/>
      <c r="L39" s="23"/>
    </row>
    <row r="40" spans="1:44">
      <c r="A40" s="41"/>
      <c r="B40" s="41"/>
      <c r="D40" s="41"/>
      <c r="E40" s="41"/>
      <c r="G40" s="23"/>
      <c r="H40" s="23"/>
      <c r="I40" s="23"/>
      <c r="J40" s="23"/>
      <c r="K40" s="23"/>
      <c r="L40" s="23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R372"/>
  <sheetViews>
    <sheetView topLeftCell="D1" workbookViewId="0"/>
  </sheetViews>
  <sheetFormatPr defaultColWidth="8.6640625" defaultRowHeight="11.1" customHeight="1"/>
  <cols>
    <col min="1" max="1" width="8.6640625" style="59"/>
    <col min="2" max="2" width="12.5546875" style="59" bestFit="1" customWidth="1"/>
    <col min="3" max="3" width="10.44140625" style="59" customWidth="1"/>
    <col min="4" max="5" width="8.6640625" style="59"/>
    <col min="6" max="6" width="10" style="59" bestFit="1" customWidth="1"/>
    <col min="7" max="257" width="8.6640625" style="59"/>
    <col min="258" max="258" width="12.5546875" style="59" bestFit="1" customWidth="1"/>
    <col min="259" max="259" width="10.44140625" style="59" customWidth="1"/>
    <col min="260" max="261" width="8.6640625" style="59"/>
    <col min="262" max="262" width="10" style="59" bestFit="1" customWidth="1"/>
    <col min="263" max="513" width="8.6640625" style="59"/>
    <col min="514" max="514" width="12.5546875" style="59" bestFit="1" customWidth="1"/>
    <col min="515" max="515" width="10.44140625" style="59" customWidth="1"/>
    <col min="516" max="517" width="8.6640625" style="59"/>
    <col min="518" max="518" width="10" style="59" bestFit="1" customWidth="1"/>
    <col min="519" max="769" width="8.6640625" style="59"/>
    <col min="770" max="770" width="12.5546875" style="59" bestFit="1" customWidth="1"/>
    <col min="771" max="771" width="10.44140625" style="59" customWidth="1"/>
    <col min="772" max="773" width="8.6640625" style="59"/>
    <col min="774" max="774" width="10" style="59" bestFit="1" customWidth="1"/>
    <col min="775" max="1025" width="8.6640625" style="59"/>
    <col min="1026" max="1026" width="12.5546875" style="59" bestFit="1" customWidth="1"/>
    <col min="1027" max="1027" width="10.44140625" style="59" customWidth="1"/>
    <col min="1028" max="1029" width="8.6640625" style="59"/>
    <col min="1030" max="1030" width="10" style="59" bestFit="1" customWidth="1"/>
    <col min="1031" max="1281" width="8.6640625" style="59"/>
    <col min="1282" max="1282" width="12.5546875" style="59" bestFit="1" customWidth="1"/>
    <col min="1283" max="1283" width="10.44140625" style="59" customWidth="1"/>
    <col min="1284" max="1285" width="8.6640625" style="59"/>
    <col min="1286" max="1286" width="10" style="59" bestFit="1" customWidth="1"/>
    <col min="1287" max="1537" width="8.6640625" style="59"/>
    <col min="1538" max="1538" width="12.5546875" style="59" bestFit="1" customWidth="1"/>
    <col min="1539" max="1539" width="10.44140625" style="59" customWidth="1"/>
    <col min="1540" max="1541" width="8.6640625" style="59"/>
    <col min="1542" max="1542" width="10" style="59" bestFit="1" customWidth="1"/>
    <col min="1543" max="1793" width="8.6640625" style="59"/>
    <col min="1794" max="1794" width="12.5546875" style="59" bestFit="1" customWidth="1"/>
    <col min="1795" max="1795" width="10.44140625" style="59" customWidth="1"/>
    <col min="1796" max="1797" width="8.6640625" style="59"/>
    <col min="1798" max="1798" width="10" style="59" bestFit="1" customWidth="1"/>
    <col min="1799" max="2049" width="8.6640625" style="59"/>
    <col min="2050" max="2050" width="12.5546875" style="59" bestFit="1" customWidth="1"/>
    <col min="2051" max="2051" width="10.44140625" style="59" customWidth="1"/>
    <col min="2052" max="2053" width="8.6640625" style="59"/>
    <col min="2054" max="2054" width="10" style="59" bestFit="1" customWidth="1"/>
    <col min="2055" max="2305" width="8.6640625" style="59"/>
    <col min="2306" max="2306" width="12.5546875" style="59" bestFit="1" customWidth="1"/>
    <col min="2307" max="2307" width="10.44140625" style="59" customWidth="1"/>
    <col min="2308" max="2309" width="8.6640625" style="59"/>
    <col min="2310" max="2310" width="10" style="59" bestFit="1" customWidth="1"/>
    <col min="2311" max="2561" width="8.6640625" style="59"/>
    <col min="2562" max="2562" width="12.5546875" style="59" bestFit="1" customWidth="1"/>
    <col min="2563" max="2563" width="10.44140625" style="59" customWidth="1"/>
    <col min="2564" max="2565" width="8.6640625" style="59"/>
    <col min="2566" max="2566" width="10" style="59" bestFit="1" customWidth="1"/>
    <col min="2567" max="2817" width="8.6640625" style="59"/>
    <col min="2818" max="2818" width="12.5546875" style="59" bestFit="1" customWidth="1"/>
    <col min="2819" max="2819" width="10.44140625" style="59" customWidth="1"/>
    <col min="2820" max="2821" width="8.6640625" style="59"/>
    <col min="2822" max="2822" width="10" style="59" bestFit="1" customWidth="1"/>
    <col min="2823" max="3073" width="8.6640625" style="59"/>
    <col min="3074" max="3074" width="12.5546875" style="59" bestFit="1" customWidth="1"/>
    <col min="3075" max="3075" width="10.44140625" style="59" customWidth="1"/>
    <col min="3076" max="3077" width="8.6640625" style="59"/>
    <col min="3078" max="3078" width="10" style="59" bestFit="1" customWidth="1"/>
    <col min="3079" max="3329" width="8.6640625" style="59"/>
    <col min="3330" max="3330" width="12.5546875" style="59" bestFit="1" customWidth="1"/>
    <col min="3331" max="3331" width="10.44140625" style="59" customWidth="1"/>
    <col min="3332" max="3333" width="8.6640625" style="59"/>
    <col min="3334" max="3334" width="10" style="59" bestFit="1" customWidth="1"/>
    <col min="3335" max="3585" width="8.6640625" style="59"/>
    <col min="3586" max="3586" width="12.5546875" style="59" bestFit="1" customWidth="1"/>
    <col min="3587" max="3587" width="10.44140625" style="59" customWidth="1"/>
    <col min="3588" max="3589" width="8.6640625" style="59"/>
    <col min="3590" max="3590" width="10" style="59" bestFit="1" customWidth="1"/>
    <col min="3591" max="3841" width="8.6640625" style="59"/>
    <col min="3842" max="3842" width="12.5546875" style="59" bestFit="1" customWidth="1"/>
    <col min="3843" max="3843" width="10.44140625" style="59" customWidth="1"/>
    <col min="3844" max="3845" width="8.6640625" style="59"/>
    <col min="3846" max="3846" width="10" style="59" bestFit="1" customWidth="1"/>
    <col min="3847" max="4097" width="8.6640625" style="59"/>
    <col min="4098" max="4098" width="12.5546875" style="59" bestFit="1" customWidth="1"/>
    <col min="4099" max="4099" width="10.44140625" style="59" customWidth="1"/>
    <col min="4100" max="4101" width="8.6640625" style="59"/>
    <col min="4102" max="4102" width="10" style="59" bestFit="1" customWidth="1"/>
    <col min="4103" max="4353" width="8.6640625" style="59"/>
    <col min="4354" max="4354" width="12.5546875" style="59" bestFit="1" customWidth="1"/>
    <col min="4355" max="4355" width="10.44140625" style="59" customWidth="1"/>
    <col min="4356" max="4357" width="8.6640625" style="59"/>
    <col min="4358" max="4358" width="10" style="59" bestFit="1" customWidth="1"/>
    <col min="4359" max="4609" width="8.6640625" style="59"/>
    <col min="4610" max="4610" width="12.5546875" style="59" bestFit="1" customWidth="1"/>
    <col min="4611" max="4611" width="10.44140625" style="59" customWidth="1"/>
    <col min="4612" max="4613" width="8.6640625" style="59"/>
    <col min="4614" max="4614" width="10" style="59" bestFit="1" customWidth="1"/>
    <col min="4615" max="4865" width="8.6640625" style="59"/>
    <col min="4866" max="4866" width="12.5546875" style="59" bestFit="1" customWidth="1"/>
    <col min="4867" max="4867" width="10.44140625" style="59" customWidth="1"/>
    <col min="4868" max="4869" width="8.6640625" style="59"/>
    <col min="4870" max="4870" width="10" style="59" bestFit="1" customWidth="1"/>
    <col min="4871" max="5121" width="8.6640625" style="59"/>
    <col min="5122" max="5122" width="12.5546875" style="59" bestFit="1" customWidth="1"/>
    <col min="5123" max="5123" width="10.44140625" style="59" customWidth="1"/>
    <col min="5124" max="5125" width="8.6640625" style="59"/>
    <col min="5126" max="5126" width="10" style="59" bestFit="1" customWidth="1"/>
    <col min="5127" max="5377" width="8.6640625" style="59"/>
    <col min="5378" max="5378" width="12.5546875" style="59" bestFit="1" customWidth="1"/>
    <col min="5379" max="5379" width="10.44140625" style="59" customWidth="1"/>
    <col min="5380" max="5381" width="8.6640625" style="59"/>
    <col min="5382" max="5382" width="10" style="59" bestFit="1" customWidth="1"/>
    <col min="5383" max="5633" width="8.6640625" style="59"/>
    <col min="5634" max="5634" width="12.5546875" style="59" bestFit="1" customWidth="1"/>
    <col min="5635" max="5635" width="10.44140625" style="59" customWidth="1"/>
    <col min="5636" max="5637" width="8.6640625" style="59"/>
    <col min="5638" max="5638" width="10" style="59" bestFit="1" customWidth="1"/>
    <col min="5639" max="5889" width="8.6640625" style="59"/>
    <col min="5890" max="5890" width="12.5546875" style="59" bestFit="1" customWidth="1"/>
    <col min="5891" max="5891" width="10.44140625" style="59" customWidth="1"/>
    <col min="5892" max="5893" width="8.6640625" style="59"/>
    <col min="5894" max="5894" width="10" style="59" bestFit="1" customWidth="1"/>
    <col min="5895" max="6145" width="8.6640625" style="59"/>
    <col min="6146" max="6146" width="12.5546875" style="59" bestFit="1" customWidth="1"/>
    <col min="6147" max="6147" width="10.44140625" style="59" customWidth="1"/>
    <col min="6148" max="6149" width="8.6640625" style="59"/>
    <col min="6150" max="6150" width="10" style="59" bestFit="1" customWidth="1"/>
    <col min="6151" max="6401" width="8.6640625" style="59"/>
    <col min="6402" max="6402" width="12.5546875" style="59" bestFit="1" customWidth="1"/>
    <col min="6403" max="6403" width="10.44140625" style="59" customWidth="1"/>
    <col min="6404" max="6405" width="8.6640625" style="59"/>
    <col min="6406" max="6406" width="10" style="59" bestFit="1" customWidth="1"/>
    <col min="6407" max="6657" width="8.6640625" style="59"/>
    <col min="6658" max="6658" width="12.5546875" style="59" bestFit="1" customWidth="1"/>
    <col min="6659" max="6659" width="10.44140625" style="59" customWidth="1"/>
    <col min="6660" max="6661" width="8.6640625" style="59"/>
    <col min="6662" max="6662" width="10" style="59" bestFit="1" customWidth="1"/>
    <col min="6663" max="6913" width="8.6640625" style="59"/>
    <col min="6914" max="6914" width="12.5546875" style="59" bestFit="1" customWidth="1"/>
    <col min="6915" max="6915" width="10.44140625" style="59" customWidth="1"/>
    <col min="6916" max="6917" width="8.6640625" style="59"/>
    <col min="6918" max="6918" width="10" style="59" bestFit="1" customWidth="1"/>
    <col min="6919" max="7169" width="8.6640625" style="59"/>
    <col min="7170" max="7170" width="12.5546875" style="59" bestFit="1" customWidth="1"/>
    <col min="7171" max="7171" width="10.44140625" style="59" customWidth="1"/>
    <col min="7172" max="7173" width="8.6640625" style="59"/>
    <col min="7174" max="7174" width="10" style="59" bestFit="1" customWidth="1"/>
    <col min="7175" max="7425" width="8.6640625" style="59"/>
    <col min="7426" max="7426" width="12.5546875" style="59" bestFit="1" customWidth="1"/>
    <col min="7427" max="7427" width="10.44140625" style="59" customWidth="1"/>
    <col min="7428" max="7429" width="8.6640625" style="59"/>
    <col min="7430" max="7430" width="10" style="59" bestFit="1" customWidth="1"/>
    <col min="7431" max="7681" width="8.6640625" style="59"/>
    <col min="7682" max="7682" width="12.5546875" style="59" bestFit="1" customWidth="1"/>
    <col min="7683" max="7683" width="10.44140625" style="59" customWidth="1"/>
    <col min="7684" max="7685" width="8.6640625" style="59"/>
    <col min="7686" max="7686" width="10" style="59" bestFit="1" customWidth="1"/>
    <col min="7687" max="7937" width="8.6640625" style="59"/>
    <col min="7938" max="7938" width="12.5546875" style="59" bestFit="1" customWidth="1"/>
    <col min="7939" max="7939" width="10.44140625" style="59" customWidth="1"/>
    <col min="7940" max="7941" width="8.6640625" style="59"/>
    <col min="7942" max="7942" width="10" style="59" bestFit="1" customWidth="1"/>
    <col min="7943" max="8193" width="8.6640625" style="59"/>
    <col min="8194" max="8194" width="12.5546875" style="59" bestFit="1" customWidth="1"/>
    <col min="8195" max="8195" width="10.44140625" style="59" customWidth="1"/>
    <col min="8196" max="8197" width="8.6640625" style="59"/>
    <col min="8198" max="8198" width="10" style="59" bestFit="1" customWidth="1"/>
    <col min="8199" max="8449" width="8.6640625" style="59"/>
    <col min="8450" max="8450" width="12.5546875" style="59" bestFit="1" customWidth="1"/>
    <col min="8451" max="8451" width="10.44140625" style="59" customWidth="1"/>
    <col min="8452" max="8453" width="8.6640625" style="59"/>
    <col min="8454" max="8454" width="10" style="59" bestFit="1" customWidth="1"/>
    <col min="8455" max="8705" width="8.6640625" style="59"/>
    <col min="8706" max="8706" width="12.5546875" style="59" bestFit="1" customWidth="1"/>
    <col min="8707" max="8707" width="10.44140625" style="59" customWidth="1"/>
    <col min="8708" max="8709" width="8.6640625" style="59"/>
    <col min="8710" max="8710" width="10" style="59" bestFit="1" customWidth="1"/>
    <col min="8711" max="8961" width="8.6640625" style="59"/>
    <col min="8962" max="8962" width="12.5546875" style="59" bestFit="1" customWidth="1"/>
    <col min="8963" max="8963" width="10.44140625" style="59" customWidth="1"/>
    <col min="8964" max="8965" width="8.6640625" style="59"/>
    <col min="8966" max="8966" width="10" style="59" bestFit="1" customWidth="1"/>
    <col min="8967" max="9217" width="8.6640625" style="59"/>
    <col min="9218" max="9218" width="12.5546875" style="59" bestFit="1" customWidth="1"/>
    <col min="9219" max="9219" width="10.44140625" style="59" customWidth="1"/>
    <col min="9220" max="9221" width="8.6640625" style="59"/>
    <col min="9222" max="9222" width="10" style="59" bestFit="1" customWidth="1"/>
    <col min="9223" max="9473" width="8.6640625" style="59"/>
    <col min="9474" max="9474" width="12.5546875" style="59" bestFit="1" customWidth="1"/>
    <col min="9475" max="9475" width="10.44140625" style="59" customWidth="1"/>
    <col min="9476" max="9477" width="8.6640625" style="59"/>
    <col min="9478" max="9478" width="10" style="59" bestFit="1" customWidth="1"/>
    <col min="9479" max="9729" width="8.6640625" style="59"/>
    <col min="9730" max="9730" width="12.5546875" style="59" bestFit="1" customWidth="1"/>
    <col min="9731" max="9731" width="10.44140625" style="59" customWidth="1"/>
    <col min="9732" max="9733" width="8.6640625" style="59"/>
    <col min="9734" max="9734" width="10" style="59" bestFit="1" customWidth="1"/>
    <col min="9735" max="9985" width="8.6640625" style="59"/>
    <col min="9986" max="9986" width="12.5546875" style="59" bestFit="1" customWidth="1"/>
    <col min="9987" max="9987" width="10.44140625" style="59" customWidth="1"/>
    <col min="9988" max="9989" width="8.6640625" style="59"/>
    <col min="9990" max="9990" width="10" style="59" bestFit="1" customWidth="1"/>
    <col min="9991" max="10241" width="8.6640625" style="59"/>
    <col min="10242" max="10242" width="12.5546875" style="59" bestFit="1" customWidth="1"/>
    <col min="10243" max="10243" width="10.44140625" style="59" customWidth="1"/>
    <col min="10244" max="10245" width="8.6640625" style="59"/>
    <col min="10246" max="10246" width="10" style="59" bestFit="1" customWidth="1"/>
    <col min="10247" max="10497" width="8.6640625" style="59"/>
    <col min="10498" max="10498" width="12.5546875" style="59" bestFit="1" customWidth="1"/>
    <col min="10499" max="10499" width="10.44140625" style="59" customWidth="1"/>
    <col min="10500" max="10501" width="8.6640625" style="59"/>
    <col min="10502" max="10502" width="10" style="59" bestFit="1" customWidth="1"/>
    <col min="10503" max="10753" width="8.6640625" style="59"/>
    <col min="10754" max="10754" width="12.5546875" style="59" bestFit="1" customWidth="1"/>
    <col min="10755" max="10755" width="10.44140625" style="59" customWidth="1"/>
    <col min="10756" max="10757" width="8.6640625" style="59"/>
    <col min="10758" max="10758" width="10" style="59" bestFit="1" customWidth="1"/>
    <col min="10759" max="11009" width="8.6640625" style="59"/>
    <col min="11010" max="11010" width="12.5546875" style="59" bestFit="1" customWidth="1"/>
    <col min="11011" max="11011" width="10.44140625" style="59" customWidth="1"/>
    <col min="11012" max="11013" width="8.6640625" style="59"/>
    <col min="11014" max="11014" width="10" style="59" bestFit="1" customWidth="1"/>
    <col min="11015" max="11265" width="8.6640625" style="59"/>
    <col min="11266" max="11266" width="12.5546875" style="59" bestFit="1" customWidth="1"/>
    <col min="11267" max="11267" width="10.44140625" style="59" customWidth="1"/>
    <col min="11268" max="11269" width="8.6640625" style="59"/>
    <col min="11270" max="11270" width="10" style="59" bestFit="1" customWidth="1"/>
    <col min="11271" max="11521" width="8.6640625" style="59"/>
    <col min="11522" max="11522" width="12.5546875" style="59" bestFit="1" customWidth="1"/>
    <col min="11523" max="11523" width="10.44140625" style="59" customWidth="1"/>
    <col min="11524" max="11525" width="8.6640625" style="59"/>
    <col min="11526" max="11526" width="10" style="59" bestFit="1" customWidth="1"/>
    <col min="11527" max="11777" width="8.6640625" style="59"/>
    <col min="11778" max="11778" width="12.5546875" style="59" bestFit="1" customWidth="1"/>
    <col min="11779" max="11779" width="10.44140625" style="59" customWidth="1"/>
    <col min="11780" max="11781" width="8.6640625" style="59"/>
    <col min="11782" max="11782" width="10" style="59" bestFit="1" customWidth="1"/>
    <col min="11783" max="12033" width="8.6640625" style="59"/>
    <col min="12034" max="12034" width="12.5546875" style="59" bestFit="1" customWidth="1"/>
    <col min="12035" max="12035" width="10.44140625" style="59" customWidth="1"/>
    <col min="12036" max="12037" width="8.6640625" style="59"/>
    <col min="12038" max="12038" width="10" style="59" bestFit="1" customWidth="1"/>
    <col min="12039" max="12289" width="8.6640625" style="59"/>
    <col min="12290" max="12290" width="12.5546875" style="59" bestFit="1" customWidth="1"/>
    <col min="12291" max="12291" width="10.44140625" style="59" customWidth="1"/>
    <col min="12292" max="12293" width="8.6640625" style="59"/>
    <col min="12294" max="12294" width="10" style="59" bestFit="1" customWidth="1"/>
    <col min="12295" max="12545" width="8.6640625" style="59"/>
    <col min="12546" max="12546" width="12.5546875" style="59" bestFit="1" customWidth="1"/>
    <col min="12547" max="12547" width="10.44140625" style="59" customWidth="1"/>
    <col min="12548" max="12549" width="8.6640625" style="59"/>
    <col min="12550" max="12550" width="10" style="59" bestFit="1" customWidth="1"/>
    <col min="12551" max="12801" width="8.6640625" style="59"/>
    <col min="12802" max="12802" width="12.5546875" style="59" bestFit="1" customWidth="1"/>
    <col min="12803" max="12803" width="10.44140625" style="59" customWidth="1"/>
    <col min="12804" max="12805" width="8.6640625" style="59"/>
    <col min="12806" max="12806" width="10" style="59" bestFit="1" customWidth="1"/>
    <col min="12807" max="13057" width="8.6640625" style="59"/>
    <col min="13058" max="13058" width="12.5546875" style="59" bestFit="1" customWidth="1"/>
    <col min="13059" max="13059" width="10.44140625" style="59" customWidth="1"/>
    <col min="13060" max="13061" width="8.6640625" style="59"/>
    <col min="13062" max="13062" width="10" style="59" bestFit="1" customWidth="1"/>
    <col min="13063" max="13313" width="8.6640625" style="59"/>
    <col min="13314" max="13314" width="12.5546875" style="59" bestFit="1" customWidth="1"/>
    <col min="13315" max="13315" width="10.44140625" style="59" customWidth="1"/>
    <col min="13316" max="13317" width="8.6640625" style="59"/>
    <col min="13318" max="13318" width="10" style="59" bestFit="1" customWidth="1"/>
    <col min="13319" max="13569" width="8.6640625" style="59"/>
    <col min="13570" max="13570" width="12.5546875" style="59" bestFit="1" customWidth="1"/>
    <col min="13571" max="13571" width="10.44140625" style="59" customWidth="1"/>
    <col min="13572" max="13573" width="8.6640625" style="59"/>
    <col min="13574" max="13574" width="10" style="59" bestFit="1" customWidth="1"/>
    <col min="13575" max="13825" width="8.6640625" style="59"/>
    <col min="13826" max="13826" width="12.5546875" style="59" bestFit="1" customWidth="1"/>
    <col min="13827" max="13827" width="10.44140625" style="59" customWidth="1"/>
    <col min="13828" max="13829" width="8.6640625" style="59"/>
    <col min="13830" max="13830" width="10" style="59" bestFit="1" customWidth="1"/>
    <col min="13831" max="14081" width="8.6640625" style="59"/>
    <col min="14082" max="14082" width="12.5546875" style="59" bestFit="1" customWidth="1"/>
    <col min="14083" max="14083" width="10.44140625" style="59" customWidth="1"/>
    <col min="14084" max="14085" width="8.6640625" style="59"/>
    <col min="14086" max="14086" width="10" style="59" bestFit="1" customWidth="1"/>
    <col min="14087" max="14337" width="8.6640625" style="59"/>
    <col min="14338" max="14338" width="12.5546875" style="59" bestFit="1" customWidth="1"/>
    <col min="14339" max="14339" width="10.44140625" style="59" customWidth="1"/>
    <col min="14340" max="14341" width="8.6640625" style="59"/>
    <col min="14342" max="14342" width="10" style="59" bestFit="1" customWidth="1"/>
    <col min="14343" max="14593" width="8.6640625" style="59"/>
    <col min="14594" max="14594" width="12.5546875" style="59" bestFit="1" customWidth="1"/>
    <col min="14595" max="14595" width="10.44140625" style="59" customWidth="1"/>
    <col min="14596" max="14597" width="8.6640625" style="59"/>
    <col min="14598" max="14598" width="10" style="59" bestFit="1" customWidth="1"/>
    <col min="14599" max="14849" width="8.6640625" style="59"/>
    <col min="14850" max="14850" width="12.5546875" style="59" bestFit="1" customWidth="1"/>
    <col min="14851" max="14851" width="10.44140625" style="59" customWidth="1"/>
    <col min="14852" max="14853" width="8.6640625" style="59"/>
    <col min="14854" max="14854" width="10" style="59" bestFit="1" customWidth="1"/>
    <col min="14855" max="15105" width="8.6640625" style="59"/>
    <col min="15106" max="15106" width="12.5546875" style="59" bestFit="1" customWidth="1"/>
    <col min="15107" max="15107" width="10.44140625" style="59" customWidth="1"/>
    <col min="15108" max="15109" width="8.6640625" style="59"/>
    <col min="15110" max="15110" width="10" style="59" bestFit="1" customWidth="1"/>
    <col min="15111" max="15361" width="8.6640625" style="59"/>
    <col min="15362" max="15362" width="12.5546875" style="59" bestFit="1" customWidth="1"/>
    <col min="15363" max="15363" width="10.44140625" style="59" customWidth="1"/>
    <col min="15364" max="15365" width="8.6640625" style="59"/>
    <col min="15366" max="15366" width="10" style="59" bestFit="1" customWidth="1"/>
    <col min="15367" max="15617" width="8.6640625" style="59"/>
    <col min="15618" max="15618" width="12.5546875" style="59" bestFit="1" customWidth="1"/>
    <col min="15619" max="15619" width="10.44140625" style="59" customWidth="1"/>
    <col min="15620" max="15621" width="8.6640625" style="59"/>
    <col min="15622" max="15622" width="10" style="59" bestFit="1" customWidth="1"/>
    <col min="15623" max="15873" width="8.6640625" style="59"/>
    <col min="15874" max="15874" width="12.5546875" style="59" bestFit="1" customWidth="1"/>
    <col min="15875" max="15875" width="10.44140625" style="59" customWidth="1"/>
    <col min="15876" max="15877" width="8.6640625" style="59"/>
    <col min="15878" max="15878" width="10" style="59" bestFit="1" customWidth="1"/>
    <col min="15879" max="16129" width="8.6640625" style="59"/>
    <col min="16130" max="16130" width="12.5546875" style="59" bestFit="1" customWidth="1"/>
    <col min="16131" max="16131" width="10.44140625" style="59" customWidth="1"/>
    <col min="16132" max="16133" width="8.6640625" style="59"/>
    <col min="16134" max="16134" width="10" style="59" bestFit="1" customWidth="1"/>
    <col min="16135" max="16384" width="8.6640625" style="59"/>
  </cols>
  <sheetData>
    <row r="1" spans="1:18" ht="11.1" customHeight="1">
      <c r="A1" s="58" t="s">
        <v>65</v>
      </c>
    </row>
    <row r="2" spans="1:18" ht="11.1" customHeight="1">
      <c r="A2" s="60" t="s">
        <v>66</v>
      </c>
    </row>
    <row r="3" spans="1:18" ht="11.1" customHeight="1">
      <c r="A3" s="60" t="s">
        <v>67</v>
      </c>
    </row>
    <row r="4" spans="1:18" ht="11.1" customHeight="1">
      <c r="B4" s="61" t="s">
        <v>68</v>
      </c>
      <c r="F4" s="60" t="s">
        <v>69</v>
      </c>
      <c r="M4" s="62"/>
      <c r="N4" s="62"/>
      <c r="O4" s="62"/>
      <c r="P4" s="62"/>
    </row>
    <row r="5" spans="1:18" ht="11.1" customHeight="1">
      <c r="A5" s="63" t="s">
        <v>70</v>
      </c>
      <c r="B5" s="64">
        <v>30</v>
      </c>
      <c r="C5" s="63" t="s">
        <v>71</v>
      </c>
      <c r="D5" s="65">
        <f>0.01</f>
        <v>0.01</v>
      </c>
      <c r="E5" s="61" t="s">
        <v>72</v>
      </c>
      <c r="F5" s="66">
        <f>PMT(B7,B5,-B6,B8)</f>
        <v>8</v>
      </c>
      <c r="M5" s="62"/>
      <c r="N5" s="62"/>
      <c r="O5" s="62"/>
      <c r="P5" s="62"/>
    </row>
    <row r="6" spans="1:18" ht="11.1" customHeight="1">
      <c r="A6" s="63" t="s">
        <v>73</v>
      </c>
      <c r="B6" s="64">
        <v>100</v>
      </c>
      <c r="C6" s="63" t="s">
        <v>74</v>
      </c>
      <c r="D6" s="65">
        <f>0.05</f>
        <v>0.05</v>
      </c>
      <c r="E6" s="63" t="s">
        <v>75</v>
      </c>
      <c r="F6" s="67">
        <f>IRR(G12:G42,0.1)</f>
        <v>8.1330166110202162E-2</v>
      </c>
      <c r="G6" s="63"/>
      <c r="H6" s="63"/>
      <c r="M6" s="62"/>
      <c r="N6" s="62"/>
      <c r="O6" s="62"/>
      <c r="P6" s="62"/>
      <c r="Q6" s="68" t="s">
        <v>76</v>
      </c>
      <c r="R6" s="67">
        <f>IRR(R11:R41,0.1)</f>
        <v>5.6959070961478897E-2</v>
      </c>
    </row>
    <row r="7" spans="1:18" ht="11.1" customHeight="1">
      <c r="A7" s="61" t="s">
        <v>77</v>
      </c>
      <c r="B7" s="65">
        <v>0.08</v>
      </c>
      <c r="C7" s="63" t="s">
        <v>78</v>
      </c>
      <c r="D7" s="64">
        <f>10</f>
        <v>10</v>
      </c>
      <c r="E7" s="63" t="s">
        <v>79</v>
      </c>
      <c r="F7" s="67">
        <f>IRR(F12:F42,0.1)</f>
        <v>8.4895430588161513E-2</v>
      </c>
      <c r="M7" s="62"/>
      <c r="N7" s="62"/>
      <c r="O7" s="62"/>
      <c r="P7" s="62"/>
      <c r="Q7" s="68" t="s">
        <v>80</v>
      </c>
      <c r="R7" s="67">
        <f>IRR(Q11:Q41,0.1)</f>
        <v>5.9609568436067129E-2</v>
      </c>
    </row>
    <row r="8" spans="1:18" ht="11.1" customHeight="1">
      <c r="A8" s="63" t="s">
        <v>81</v>
      </c>
      <c r="B8" s="69">
        <v>100</v>
      </c>
      <c r="C8" s="63" t="s">
        <v>82</v>
      </c>
      <c r="D8" s="65">
        <v>0.3</v>
      </c>
      <c r="M8" s="62"/>
      <c r="N8" s="62"/>
      <c r="O8" s="62"/>
      <c r="P8" s="62"/>
    </row>
    <row r="9" spans="1:18" ht="11.1" customHeight="1">
      <c r="A9" s="63"/>
      <c r="B9" s="65"/>
      <c r="C9" s="63"/>
      <c r="D9" s="64"/>
      <c r="I9" s="70"/>
      <c r="M9" s="62"/>
      <c r="N9" s="62"/>
      <c r="O9" s="62"/>
      <c r="P9" s="62"/>
      <c r="Q9" s="68" t="s">
        <v>83</v>
      </c>
    </row>
    <row r="10" spans="1:18" ht="11.1" customHeight="1">
      <c r="A10" s="60" t="s">
        <v>84</v>
      </c>
      <c r="M10" s="62"/>
      <c r="N10" s="62"/>
      <c r="O10" s="62"/>
      <c r="P10" s="62"/>
      <c r="Q10" s="68" t="s">
        <v>85</v>
      </c>
      <c r="R10" s="68" t="s">
        <v>86</v>
      </c>
    </row>
    <row r="11" spans="1:18" ht="11.1" customHeight="1">
      <c r="A11" s="61" t="s">
        <v>33</v>
      </c>
      <c r="B11" s="63" t="s">
        <v>40</v>
      </c>
      <c r="C11" s="63" t="s">
        <v>87</v>
      </c>
      <c r="D11" s="63" t="s">
        <v>88</v>
      </c>
      <c r="E11" s="63" t="s">
        <v>89</v>
      </c>
      <c r="F11" s="63" t="s">
        <v>85</v>
      </c>
      <c r="G11" s="63" t="s">
        <v>86</v>
      </c>
      <c r="H11" s="63"/>
      <c r="M11" s="62"/>
      <c r="N11" s="62"/>
      <c r="O11" s="62"/>
      <c r="P11" s="62"/>
      <c r="Q11" s="66">
        <f>-(1-(1-$D$8)*$D$5)*$B$6</f>
        <v>-99.3</v>
      </c>
      <c r="R11" s="66">
        <f>-(1-(1-$D$8)*$D$5)*$B$6</f>
        <v>-99.3</v>
      </c>
    </row>
    <row r="12" spans="1:18" ht="11.1" customHeight="1">
      <c r="A12" s="71">
        <v>0</v>
      </c>
      <c r="B12" s="72"/>
      <c r="C12" s="72"/>
      <c r="D12" s="72"/>
      <c r="E12" s="66">
        <f>B6</f>
        <v>100</v>
      </c>
      <c r="F12" s="66">
        <f>-(1-$D$5)*$B$6</f>
        <v>-99</v>
      </c>
      <c r="G12" s="66">
        <f>-(1-$D$5)*$B$6</f>
        <v>-99</v>
      </c>
      <c r="H12" s="66"/>
      <c r="M12" s="62"/>
      <c r="N12" s="62"/>
      <c r="O12" s="62"/>
      <c r="P12" s="62"/>
      <c r="Q12" s="66">
        <f t="shared" ref="Q12:Q41" si="0">IF($A13&lt;$D$7,$B13-($D$8*$C13),IF($A13&gt;$D$7,0,$B13-($D$8*$C13)+$E13*(1+(1-$D$8)*$D$6)))</f>
        <v>5.6</v>
      </c>
      <c r="R12" s="66">
        <f t="shared" ref="R12:R41" si="1">IF($A13&lt;$B$5,$B13-($D$8*$C13),IF($A13&gt;$B$5,0,$B13-($D$8*$C13)+$E13*(1+(1-$D$8)*$D$6)))</f>
        <v>5.6</v>
      </c>
    </row>
    <row r="13" spans="1:18" ht="11.1" customHeight="1">
      <c r="A13" s="71">
        <v>1</v>
      </c>
      <c r="B13" s="66">
        <f t="shared" ref="B13:B42" si="2">IF(A13&gt;B$5,0,$F$5)</f>
        <v>8</v>
      </c>
      <c r="C13" s="66">
        <f t="shared" ref="C13:C42" si="3">IF(A13&gt;B$5,0,E12*B$7)</f>
        <v>8</v>
      </c>
      <c r="D13" s="66">
        <f t="shared" ref="D13:D42" si="4">IF(A13&gt;B$5,0,B13-C13)</f>
        <v>0</v>
      </c>
      <c r="E13" s="66">
        <f t="shared" ref="E13:E42" si="5">IF(A13&gt;B$5,0,E12-D13)</f>
        <v>100</v>
      </c>
      <c r="F13" s="66">
        <f t="shared" ref="F13:F42" si="6">IF($A13&lt;$D$7,$B13,IF($A13&gt;$D$7,0,$B13+$E13*(1+$D$6)))</f>
        <v>8</v>
      </c>
      <c r="G13" s="66">
        <f t="shared" ref="G13:G42" si="7">IF($A13&lt;$B$5,$B13,IF($A13&gt;$B$5,0,$B13+$E13*(1+$D$6)))</f>
        <v>8</v>
      </c>
      <c r="H13" s="66"/>
      <c r="M13" s="62"/>
      <c r="N13" s="62"/>
      <c r="O13" s="62"/>
      <c r="P13" s="62"/>
      <c r="Q13" s="66">
        <f t="shared" si="0"/>
        <v>5.6</v>
      </c>
      <c r="R13" s="66">
        <f t="shared" si="1"/>
        <v>5.6</v>
      </c>
    </row>
    <row r="14" spans="1:18" ht="11.1" customHeight="1">
      <c r="A14" s="71">
        <f t="shared" ref="A14:A42" si="8">A13+1</f>
        <v>2</v>
      </c>
      <c r="B14" s="66">
        <f t="shared" si="2"/>
        <v>8</v>
      </c>
      <c r="C14" s="66">
        <f t="shared" si="3"/>
        <v>8</v>
      </c>
      <c r="D14" s="66">
        <f t="shared" si="4"/>
        <v>0</v>
      </c>
      <c r="E14" s="66">
        <f t="shared" si="5"/>
        <v>100</v>
      </c>
      <c r="F14" s="66">
        <f t="shared" si="6"/>
        <v>8</v>
      </c>
      <c r="G14" s="66">
        <f t="shared" si="7"/>
        <v>8</v>
      </c>
      <c r="H14" s="66"/>
      <c r="M14" s="62"/>
      <c r="N14" s="62"/>
      <c r="O14" s="62"/>
      <c r="P14" s="62"/>
      <c r="Q14" s="66">
        <f t="shared" si="0"/>
        <v>5.6</v>
      </c>
      <c r="R14" s="66">
        <f t="shared" si="1"/>
        <v>5.6</v>
      </c>
    </row>
    <row r="15" spans="1:18" ht="11.1" customHeight="1">
      <c r="A15" s="71">
        <f t="shared" si="8"/>
        <v>3</v>
      </c>
      <c r="B15" s="66">
        <f t="shared" si="2"/>
        <v>8</v>
      </c>
      <c r="C15" s="66">
        <f t="shared" si="3"/>
        <v>8</v>
      </c>
      <c r="D15" s="66">
        <f t="shared" si="4"/>
        <v>0</v>
      </c>
      <c r="E15" s="66">
        <f t="shared" si="5"/>
        <v>100</v>
      </c>
      <c r="F15" s="66">
        <f t="shared" si="6"/>
        <v>8</v>
      </c>
      <c r="G15" s="66">
        <f t="shared" si="7"/>
        <v>8</v>
      </c>
      <c r="H15" s="66"/>
      <c r="M15" s="62"/>
      <c r="N15" s="62"/>
      <c r="O15" s="62"/>
      <c r="P15" s="62"/>
      <c r="Q15" s="66">
        <f t="shared" si="0"/>
        <v>5.6</v>
      </c>
      <c r="R15" s="66">
        <f t="shared" si="1"/>
        <v>5.6</v>
      </c>
    </row>
    <row r="16" spans="1:18" ht="11.1" customHeight="1">
      <c r="A16" s="71">
        <f t="shared" si="8"/>
        <v>4</v>
      </c>
      <c r="B16" s="66">
        <f t="shared" si="2"/>
        <v>8</v>
      </c>
      <c r="C16" s="66">
        <f t="shared" si="3"/>
        <v>8</v>
      </c>
      <c r="D16" s="66">
        <f t="shared" si="4"/>
        <v>0</v>
      </c>
      <c r="E16" s="66">
        <f t="shared" si="5"/>
        <v>100</v>
      </c>
      <c r="F16" s="66">
        <f t="shared" si="6"/>
        <v>8</v>
      </c>
      <c r="G16" s="66">
        <f t="shared" si="7"/>
        <v>8</v>
      </c>
      <c r="H16" s="66"/>
      <c r="M16" s="62"/>
      <c r="N16" s="62"/>
      <c r="O16" s="62"/>
      <c r="P16" s="62"/>
      <c r="Q16" s="66">
        <f t="shared" si="0"/>
        <v>5.6</v>
      </c>
      <c r="R16" s="66">
        <f t="shared" si="1"/>
        <v>5.6</v>
      </c>
    </row>
    <row r="17" spans="1:18" ht="11.1" customHeight="1">
      <c r="A17" s="71">
        <f t="shared" si="8"/>
        <v>5</v>
      </c>
      <c r="B17" s="66">
        <f t="shared" si="2"/>
        <v>8</v>
      </c>
      <c r="C17" s="66">
        <f t="shared" si="3"/>
        <v>8</v>
      </c>
      <c r="D17" s="66">
        <f t="shared" si="4"/>
        <v>0</v>
      </c>
      <c r="E17" s="66">
        <f t="shared" si="5"/>
        <v>100</v>
      </c>
      <c r="F17" s="66">
        <f t="shared" si="6"/>
        <v>8</v>
      </c>
      <c r="G17" s="66">
        <f t="shared" si="7"/>
        <v>8</v>
      </c>
      <c r="H17" s="66"/>
      <c r="M17" s="62"/>
      <c r="N17" s="62"/>
      <c r="O17" s="62"/>
      <c r="P17" s="62"/>
      <c r="Q17" s="66">
        <f t="shared" si="0"/>
        <v>5.6</v>
      </c>
      <c r="R17" s="66">
        <f t="shared" si="1"/>
        <v>5.6</v>
      </c>
    </row>
    <row r="18" spans="1:18" ht="11.1" customHeight="1">
      <c r="A18" s="71">
        <f t="shared" si="8"/>
        <v>6</v>
      </c>
      <c r="B18" s="66">
        <f t="shared" si="2"/>
        <v>8</v>
      </c>
      <c r="C18" s="66">
        <f t="shared" si="3"/>
        <v>8</v>
      </c>
      <c r="D18" s="66">
        <f t="shared" si="4"/>
        <v>0</v>
      </c>
      <c r="E18" s="66">
        <f t="shared" si="5"/>
        <v>100</v>
      </c>
      <c r="F18" s="66">
        <f t="shared" si="6"/>
        <v>8</v>
      </c>
      <c r="G18" s="66">
        <f t="shared" si="7"/>
        <v>8</v>
      </c>
      <c r="H18" s="66"/>
      <c r="M18" s="62"/>
      <c r="N18" s="62"/>
      <c r="O18" s="62"/>
      <c r="P18" s="62"/>
      <c r="Q18" s="66">
        <f t="shared" si="0"/>
        <v>5.6</v>
      </c>
      <c r="R18" s="66">
        <f t="shared" si="1"/>
        <v>5.6</v>
      </c>
    </row>
    <row r="19" spans="1:18" ht="11.1" customHeight="1">
      <c r="A19" s="71">
        <f t="shared" si="8"/>
        <v>7</v>
      </c>
      <c r="B19" s="66">
        <f t="shared" si="2"/>
        <v>8</v>
      </c>
      <c r="C19" s="66">
        <f t="shared" si="3"/>
        <v>8</v>
      </c>
      <c r="D19" s="66">
        <f t="shared" si="4"/>
        <v>0</v>
      </c>
      <c r="E19" s="66">
        <f t="shared" si="5"/>
        <v>100</v>
      </c>
      <c r="F19" s="66">
        <f t="shared" si="6"/>
        <v>8</v>
      </c>
      <c r="G19" s="66">
        <f t="shared" si="7"/>
        <v>8</v>
      </c>
      <c r="H19" s="66"/>
      <c r="M19" s="62"/>
      <c r="N19" s="62"/>
      <c r="O19" s="62"/>
      <c r="P19" s="62"/>
      <c r="Q19" s="66">
        <f t="shared" si="0"/>
        <v>5.6</v>
      </c>
      <c r="R19" s="66">
        <f t="shared" si="1"/>
        <v>5.6</v>
      </c>
    </row>
    <row r="20" spans="1:18" ht="11.1" customHeight="1">
      <c r="A20" s="71">
        <f t="shared" si="8"/>
        <v>8</v>
      </c>
      <c r="B20" s="66">
        <f t="shared" si="2"/>
        <v>8</v>
      </c>
      <c r="C20" s="66">
        <f t="shared" si="3"/>
        <v>8</v>
      </c>
      <c r="D20" s="66">
        <f t="shared" si="4"/>
        <v>0</v>
      </c>
      <c r="E20" s="66">
        <f t="shared" si="5"/>
        <v>100</v>
      </c>
      <c r="F20" s="66">
        <f t="shared" si="6"/>
        <v>8</v>
      </c>
      <c r="G20" s="66">
        <f t="shared" si="7"/>
        <v>8</v>
      </c>
      <c r="H20" s="66"/>
      <c r="M20" s="62"/>
      <c r="N20" s="62"/>
      <c r="O20" s="62"/>
      <c r="P20" s="62"/>
      <c r="Q20" s="66">
        <f t="shared" si="0"/>
        <v>5.6</v>
      </c>
      <c r="R20" s="66">
        <f t="shared" si="1"/>
        <v>5.6</v>
      </c>
    </row>
    <row r="21" spans="1:18" ht="11.1" customHeight="1">
      <c r="A21" s="71">
        <f t="shared" si="8"/>
        <v>9</v>
      </c>
      <c r="B21" s="66">
        <f t="shared" si="2"/>
        <v>8</v>
      </c>
      <c r="C21" s="66">
        <f t="shared" si="3"/>
        <v>8</v>
      </c>
      <c r="D21" s="66">
        <f t="shared" si="4"/>
        <v>0</v>
      </c>
      <c r="E21" s="66">
        <f t="shared" si="5"/>
        <v>100</v>
      </c>
      <c r="F21" s="66">
        <f t="shared" si="6"/>
        <v>8</v>
      </c>
      <c r="G21" s="66">
        <f t="shared" si="7"/>
        <v>8</v>
      </c>
      <c r="H21" s="66"/>
      <c r="M21" s="62"/>
      <c r="N21" s="62"/>
      <c r="O21" s="62"/>
      <c r="P21" s="62"/>
      <c r="Q21" s="66">
        <f t="shared" si="0"/>
        <v>109.09999999999998</v>
      </c>
      <c r="R21" s="66">
        <f t="shared" si="1"/>
        <v>5.6</v>
      </c>
    </row>
    <row r="22" spans="1:18" ht="11.1" customHeight="1">
      <c r="A22" s="71">
        <f t="shared" si="8"/>
        <v>10</v>
      </c>
      <c r="B22" s="66">
        <f t="shared" si="2"/>
        <v>8</v>
      </c>
      <c r="C22" s="66">
        <f t="shared" si="3"/>
        <v>8</v>
      </c>
      <c r="D22" s="66">
        <f t="shared" si="4"/>
        <v>0</v>
      </c>
      <c r="E22" s="66">
        <f t="shared" si="5"/>
        <v>100</v>
      </c>
      <c r="F22" s="66">
        <f t="shared" si="6"/>
        <v>113</v>
      </c>
      <c r="G22" s="66">
        <f t="shared" si="7"/>
        <v>8</v>
      </c>
      <c r="H22" s="66"/>
      <c r="M22" s="62"/>
      <c r="N22" s="62"/>
      <c r="O22" s="62"/>
      <c r="P22" s="62"/>
      <c r="Q22" s="66">
        <f t="shared" si="0"/>
        <v>0</v>
      </c>
      <c r="R22" s="66">
        <f t="shared" si="1"/>
        <v>5.6</v>
      </c>
    </row>
    <row r="23" spans="1:18" ht="11.1" customHeight="1">
      <c r="A23" s="71">
        <f t="shared" si="8"/>
        <v>11</v>
      </c>
      <c r="B23" s="66">
        <f t="shared" si="2"/>
        <v>8</v>
      </c>
      <c r="C23" s="66">
        <f t="shared" si="3"/>
        <v>8</v>
      </c>
      <c r="D23" s="66">
        <f t="shared" si="4"/>
        <v>0</v>
      </c>
      <c r="E23" s="66">
        <f t="shared" si="5"/>
        <v>100</v>
      </c>
      <c r="F23" s="66">
        <f t="shared" si="6"/>
        <v>0</v>
      </c>
      <c r="G23" s="66">
        <f t="shared" si="7"/>
        <v>8</v>
      </c>
      <c r="H23" s="66"/>
      <c r="M23" s="62"/>
      <c r="N23" s="62"/>
      <c r="O23" s="62"/>
      <c r="P23" s="62"/>
      <c r="Q23" s="66">
        <f t="shared" si="0"/>
        <v>0</v>
      </c>
      <c r="R23" s="66">
        <f t="shared" si="1"/>
        <v>5.6</v>
      </c>
    </row>
    <row r="24" spans="1:18" ht="11.1" customHeight="1">
      <c r="A24" s="71">
        <f t="shared" si="8"/>
        <v>12</v>
      </c>
      <c r="B24" s="66">
        <f t="shared" si="2"/>
        <v>8</v>
      </c>
      <c r="C24" s="66">
        <f t="shared" si="3"/>
        <v>8</v>
      </c>
      <c r="D24" s="66">
        <f t="shared" si="4"/>
        <v>0</v>
      </c>
      <c r="E24" s="66">
        <f t="shared" si="5"/>
        <v>100</v>
      </c>
      <c r="F24" s="66">
        <f t="shared" si="6"/>
        <v>0</v>
      </c>
      <c r="G24" s="66">
        <f t="shared" si="7"/>
        <v>8</v>
      </c>
      <c r="H24" s="66"/>
      <c r="M24" s="62"/>
      <c r="N24" s="62"/>
      <c r="O24" s="62"/>
      <c r="P24" s="62"/>
      <c r="Q24" s="66">
        <f t="shared" si="0"/>
        <v>0</v>
      </c>
      <c r="R24" s="66">
        <f t="shared" si="1"/>
        <v>5.6</v>
      </c>
    </row>
    <row r="25" spans="1:18" ht="11.1" customHeight="1">
      <c r="A25" s="71">
        <f t="shared" si="8"/>
        <v>13</v>
      </c>
      <c r="B25" s="66">
        <f t="shared" si="2"/>
        <v>8</v>
      </c>
      <c r="C25" s="66">
        <f t="shared" si="3"/>
        <v>8</v>
      </c>
      <c r="D25" s="66">
        <f t="shared" si="4"/>
        <v>0</v>
      </c>
      <c r="E25" s="66">
        <f t="shared" si="5"/>
        <v>100</v>
      </c>
      <c r="F25" s="66">
        <f t="shared" si="6"/>
        <v>0</v>
      </c>
      <c r="G25" s="66">
        <f t="shared" si="7"/>
        <v>8</v>
      </c>
      <c r="H25" s="66"/>
      <c r="M25" s="62"/>
      <c r="N25" s="62"/>
      <c r="O25" s="62"/>
      <c r="P25" s="62"/>
      <c r="Q25" s="66">
        <f t="shared" si="0"/>
        <v>0</v>
      </c>
      <c r="R25" s="66">
        <f t="shared" si="1"/>
        <v>5.6</v>
      </c>
    </row>
    <row r="26" spans="1:18" ht="11.1" customHeight="1">
      <c r="A26" s="71">
        <f t="shared" si="8"/>
        <v>14</v>
      </c>
      <c r="B26" s="66">
        <f t="shared" si="2"/>
        <v>8</v>
      </c>
      <c r="C26" s="66">
        <f t="shared" si="3"/>
        <v>8</v>
      </c>
      <c r="D26" s="66">
        <f t="shared" si="4"/>
        <v>0</v>
      </c>
      <c r="E26" s="66">
        <f t="shared" si="5"/>
        <v>100</v>
      </c>
      <c r="F26" s="66">
        <f t="shared" si="6"/>
        <v>0</v>
      </c>
      <c r="G26" s="66">
        <f t="shared" si="7"/>
        <v>8</v>
      </c>
      <c r="H26" s="66"/>
      <c r="M26" s="62"/>
      <c r="N26" s="62"/>
      <c r="O26" s="62"/>
      <c r="P26" s="62"/>
      <c r="Q26" s="66">
        <f t="shared" si="0"/>
        <v>0</v>
      </c>
      <c r="R26" s="66">
        <f t="shared" si="1"/>
        <v>5.6</v>
      </c>
    </row>
    <row r="27" spans="1:18" ht="11.1" customHeight="1">
      <c r="A27" s="71">
        <f t="shared" si="8"/>
        <v>15</v>
      </c>
      <c r="B27" s="66">
        <f t="shared" si="2"/>
        <v>8</v>
      </c>
      <c r="C27" s="66">
        <f t="shared" si="3"/>
        <v>8</v>
      </c>
      <c r="D27" s="66">
        <f t="shared" si="4"/>
        <v>0</v>
      </c>
      <c r="E27" s="66">
        <f t="shared" si="5"/>
        <v>100</v>
      </c>
      <c r="F27" s="66">
        <f t="shared" si="6"/>
        <v>0</v>
      </c>
      <c r="G27" s="66">
        <f t="shared" si="7"/>
        <v>8</v>
      </c>
      <c r="H27" s="66"/>
      <c r="M27" s="62"/>
      <c r="N27" s="62"/>
      <c r="O27" s="62"/>
      <c r="P27" s="62"/>
      <c r="Q27" s="66">
        <f t="shared" si="0"/>
        <v>0</v>
      </c>
      <c r="R27" s="66">
        <f t="shared" si="1"/>
        <v>5.6</v>
      </c>
    </row>
    <row r="28" spans="1:18" ht="11.1" customHeight="1">
      <c r="A28" s="71">
        <f t="shared" si="8"/>
        <v>16</v>
      </c>
      <c r="B28" s="66">
        <f t="shared" si="2"/>
        <v>8</v>
      </c>
      <c r="C28" s="66">
        <f t="shared" si="3"/>
        <v>8</v>
      </c>
      <c r="D28" s="66">
        <f t="shared" si="4"/>
        <v>0</v>
      </c>
      <c r="E28" s="66">
        <f t="shared" si="5"/>
        <v>100</v>
      </c>
      <c r="F28" s="66">
        <f t="shared" si="6"/>
        <v>0</v>
      </c>
      <c r="G28" s="66">
        <f t="shared" si="7"/>
        <v>8</v>
      </c>
      <c r="H28" s="66"/>
      <c r="I28" s="73" t="s">
        <v>90</v>
      </c>
      <c r="M28" s="62"/>
      <c r="N28" s="62"/>
      <c r="O28" s="62"/>
      <c r="P28" s="62"/>
      <c r="Q28" s="66">
        <f t="shared" si="0"/>
        <v>0</v>
      </c>
      <c r="R28" s="66">
        <f t="shared" si="1"/>
        <v>5.6</v>
      </c>
    </row>
    <row r="29" spans="1:18" ht="11.1" customHeight="1">
      <c r="A29" s="71">
        <f t="shared" si="8"/>
        <v>17</v>
      </c>
      <c r="B29" s="66">
        <f t="shared" si="2"/>
        <v>8</v>
      </c>
      <c r="C29" s="66">
        <f t="shared" si="3"/>
        <v>8</v>
      </c>
      <c r="D29" s="66">
        <f t="shared" si="4"/>
        <v>0</v>
      </c>
      <c r="E29" s="66">
        <f t="shared" si="5"/>
        <v>100</v>
      </c>
      <c r="F29" s="66">
        <f t="shared" si="6"/>
        <v>0</v>
      </c>
      <c r="G29" s="66">
        <f t="shared" si="7"/>
        <v>8</v>
      </c>
      <c r="H29" s="66"/>
      <c r="M29" s="62"/>
      <c r="N29" s="62"/>
      <c r="O29" s="62"/>
      <c r="P29" s="62"/>
      <c r="Q29" s="66">
        <f t="shared" si="0"/>
        <v>0</v>
      </c>
      <c r="R29" s="66">
        <f t="shared" si="1"/>
        <v>5.6</v>
      </c>
    </row>
    <row r="30" spans="1:18" ht="11.1" customHeight="1">
      <c r="A30" s="71">
        <f t="shared" si="8"/>
        <v>18</v>
      </c>
      <c r="B30" s="66">
        <f t="shared" si="2"/>
        <v>8</v>
      </c>
      <c r="C30" s="66">
        <f t="shared" si="3"/>
        <v>8</v>
      </c>
      <c r="D30" s="66">
        <f t="shared" si="4"/>
        <v>0</v>
      </c>
      <c r="E30" s="66">
        <f t="shared" si="5"/>
        <v>100</v>
      </c>
      <c r="F30" s="66">
        <f t="shared" si="6"/>
        <v>0</v>
      </c>
      <c r="G30" s="66">
        <f t="shared" si="7"/>
        <v>8</v>
      </c>
      <c r="H30" s="66"/>
      <c r="M30" s="62"/>
      <c r="N30" s="62"/>
      <c r="O30" s="62"/>
      <c r="P30" s="62"/>
      <c r="Q30" s="66">
        <f t="shared" si="0"/>
        <v>0</v>
      </c>
      <c r="R30" s="66">
        <f t="shared" si="1"/>
        <v>5.6</v>
      </c>
    </row>
    <row r="31" spans="1:18" ht="11.1" customHeight="1">
      <c r="A31" s="71">
        <f t="shared" si="8"/>
        <v>19</v>
      </c>
      <c r="B31" s="66">
        <f t="shared" si="2"/>
        <v>8</v>
      </c>
      <c r="C31" s="66">
        <f t="shared" si="3"/>
        <v>8</v>
      </c>
      <c r="D31" s="66">
        <f t="shared" si="4"/>
        <v>0</v>
      </c>
      <c r="E31" s="66">
        <f t="shared" si="5"/>
        <v>100</v>
      </c>
      <c r="F31" s="66">
        <f t="shared" si="6"/>
        <v>0</v>
      </c>
      <c r="G31" s="66">
        <f t="shared" si="7"/>
        <v>8</v>
      </c>
      <c r="H31" s="66"/>
      <c r="M31" s="62"/>
      <c r="N31" s="62"/>
      <c r="O31" s="62"/>
      <c r="P31" s="62"/>
      <c r="Q31" s="66">
        <f t="shared" si="0"/>
        <v>0</v>
      </c>
      <c r="R31" s="66">
        <f t="shared" si="1"/>
        <v>5.6</v>
      </c>
    </row>
    <row r="32" spans="1:18" ht="11.1" customHeight="1">
      <c r="A32" s="71">
        <f t="shared" si="8"/>
        <v>20</v>
      </c>
      <c r="B32" s="66">
        <f t="shared" si="2"/>
        <v>8</v>
      </c>
      <c r="C32" s="66">
        <f t="shared" si="3"/>
        <v>8</v>
      </c>
      <c r="D32" s="66">
        <f t="shared" si="4"/>
        <v>0</v>
      </c>
      <c r="E32" s="66">
        <f t="shared" si="5"/>
        <v>100</v>
      </c>
      <c r="F32" s="66">
        <f t="shared" si="6"/>
        <v>0</v>
      </c>
      <c r="G32" s="66">
        <f t="shared" si="7"/>
        <v>8</v>
      </c>
      <c r="H32" s="66"/>
      <c r="M32" s="62"/>
      <c r="N32" s="62"/>
      <c r="O32" s="62"/>
      <c r="P32" s="62"/>
      <c r="Q32" s="66">
        <f t="shared" si="0"/>
        <v>0</v>
      </c>
      <c r="R32" s="66">
        <f t="shared" si="1"/>
        <v>5.6</v>
      </c>
    </row>
    <row r="33" spans="1:18" ht="11.1" customHeight="1">
      <c r="A33" s="71">
        <f t="shared" si="8"/>
        <v>21</v>
      </c>
      <c r="B33" s="66">
        <f t="shared" si="2"/>
        <v>8</v>
      </c>
      <c r="C33" s="66">
        <f t="shared" si="3"/>
        <v>8</v>
      </c>
      <c r="D33" s="66">
        <f t="shared" si="4"/>
        <v>0</v>
      </c>
      <c r="E33" s="66">
        <f t="shared" si="5"/>
        <v>100</v>
      </c>
      <c r="F33" s="66">
        <f t="shared" si="6"/>
        <v>0</v>
      </c>
      <c r="G33" s="66">
        <f t="shared" si="7"/>
        <v>8</v>
      </c>
      <c r="H33" s="66"/>
      <c r="M33" s="62"/>
      <c r="N33" s="62"/>
      <c r="O33" s="62"/>
      <c r="P33" s="62"/>
      <c r="Q33" s="66">
        <f t="shared" si="0"/>
        <v>0</v>
      </c>
      <c r="R33" s="66">
        <f t="shared" si="1"/>
        <v>5.6</v>
      </c>
    </row>
    <row r="34" spans="1:18" ht="11.1" customHeight="1">
      <c r="A34" s="71">
        <f t="shared" si="8"/>
        <v>22</v>
      </c>
      <c r="B34" s="66">
        <f t="shared" si="2"/>
        <v>8</v>
      </c>
      <c r="C34" s="66">
        <f t="shared" si="3"/>
        <v>8</v>
      </c>
      <c r="D34" s="66">
        <f t="shared" si="4"/>
        <v>0</v>
      </c>
      <c r="E34" s="66">
        <f t="shared" si="5"/>
        <v>100</v>
      </c>
      <c r="F34" s="66">
        <f t="shared" si="6"/>
        <v>0</v>
      </c>
      <c r="G34" s="66">
        <f t="shared" si="7"/>
        <v>8</v>
      </c>
      <c r="H34" s="66"/>
      <c r="Q34" s="66">
        <f t="shared" si="0"/>
        <v>0</v>
      </c>
      <c r="R34" s="66">
        <f t="shared" si="1"/>
        <v>5.6</v>
      </c>
    </row>
    <row r="35" spans="1:18" ht="11.1" customHeight="1">
      <c r="A35" s="71">
        <f t="shared" si="8"/>
        <v>23</v>
      </c>
      <c r="B35" s="66">
        <f t="shared" si="2"/>
        <v>8</v>
      </c>
      <c r="C35" s="66">
        <f t="shared" si="3"/>
        <v>8</v>
      </c>
      <c r="D35" s="66">
        <f t="shared" si="4"/>
        <v>0</v>
      </c>
      <c r="E35" s="66">
        <f t="shared" si="5"/>
        <v>100</v>
      </c>
      <c r="F35" s="66">
        <f t="shared" si="6"/>
        <v>0</v>
      </c>
      <c r="G35" s="66">
        <f t="shared" si="7"/>
        <v>8</v>
      </c>
      <c r="H35" s="66"/>
      <c r="Q35" s="66">
        <f t="shared" si="0"/>
        <v>0</v>
      </c>
      <c r="R35" s="66">
        <f t="shared" si="1"/>
        <v>5.6</v>
      </c>
    </row>
    <row r="36" spans="1:18" ht="11.1" customHeight="1">
      <c r="A36" s="71">
        <f t="shared" si="8"/>
        <v>24</v>
      </c>
      <c r="B36" s="66">
        <f t="shared" si="2"/>
        <v>8</v>
      </c>
      <c r="C36" s="66">
        <f t="shared" si="3"/>
        <v>8</v>
      </c>
      <c r="D36" s="66">
        <f t="shared" si="4"/>
        <v>0</v>
      </c>
      <c r="E36" s="66">
        <f t="shared" si="5"/>
        <v>100</v>
      </c>
      <c r="F36" s="66">
        <f t="shared" si="6"/>
        <v>0</v>
      </c>
      <c r="G36" s="66">
        <f t="shared" si="7"/>
        <v>8</v>
      </c>
      <c r="H36" s="66"/>
      <c r="Q36" s="66">
        <f t="shared" si="0"/>
        <v>0</v>
      </c>
      <c r="R36" s="66">
        <f t="shared" si="1"/>
        <v>5.6</v>
      </c>
    </row>
    <row r="37" spans="1:18" ht="11.1" customHeight="1">
      <c r="A37" s="71">
        <f t="shared" si="8"/>
        <v>25</v>
      </c>
      <c r="B37" s="66">
        <f t="shared" si="2"/>
        <v>8</v>
      </c>
      <c r="C37" s="66">
        <f t="shared" si="3"/>
        <v>8</v>
      </c>
      <c r="D37" s="66">
        <f t="shared" si="4"/>
        <v>0</v>
      </c>
      <c r="E37" s="66">
        <f t="shared" si="5"/>
        <v>100</v>
      </c>
      <c r="F37" s="66">
        <f t="shared" si="6"/>
        <v>0</v>
      </c>
      <c r="G37" s="66">
        <f t="shared" si="7"/>
        <v>8</v>
      </c>
      <c r="H37" s="66"/>
      <c r="Q37" s="66">
        <f t="shared" si="0"/>
        <v>0</v>
      </c>
      <c r="R37" s="66">
        <f t="shared" si="1"/>
        <v>5.6</v>
      </c>
    </row>
    <row r="38" spans="1:18" ht="11.1" customHeight="1">
      <c r="A38" s="71">
        <f t="shared" si="8"/>
        <v>26</v>
      </c>
      <c r="B38" s="66">
        <f t="shared" si="2"/>
        <v>8</v>
      </c>
      <c r="C38" s="66">
        <f t="shared" si="3"/>
        <v>8</v>
      </c>
      <c r="D38" s="66">
        <f t="shared" si="4"/>
        <v>0</v>
      </c>
      <c r="E38" s="66">
        <f t="shared" si="5"/>
        <v>100</v>
      </c>
      <c r="F38" s="66">
        <f t="shared" si="6"/>
        <v>0</v>
      </c>
      <c r="G38" s="66">
        <f t="shared" si="7"/>
        <v>8</v>
      </c>
      <c r="H38" s="66"/>
      <c r="Q38" s="66">
        <f t="shared" si="0"/>
        <v>0</v>
      </c>
      <c r="R38" s="66">
        <f t="shared" si="1"/>
        <v>5.6</v>
      </c>
    </row>
    <row r="39" spans="1:18" ht="11.1" customHeight="1">
      <c r="A39" s="71">
        <f t="shared" si="8"/>
        <v>27</v>
      </c>
      <c r="B39" s="66">
        <f t="shared" si="2"/>
        <v>8</v>
      </c>
      <c r="C39" s="66">
        <f t="shared" si="3"/>
        <v>8</v>
      </c>
      <c r="D39" s="66">
        <f t="shared" si="4"/>
        <v>0</v>
      </c>
      <c r="E39" s="66">
        <f t="shared" si="5"/>
        <v>100</v>
      </c>
      <c r="F39" s="66">
        <f t="shared" si="6"/>
        <v>0</v>
      </c>
      <c r="G39" s="66">
        <f t="shared" si="7"/>
        <v>8</v>
      </c>
      <c r="H39" s="66"/>
      <c r="Q39" s="66">
        <f t="shared" si="0"/>
        <v>0</v>
      </c>
      <c r="R39" s="66">
        <f t="shared" si="1"/>
        <v>5.6</v>
      </c>
    </row>
    <row r="40" spans="1:18" ht="11.1" customHeight="1">
      <c r="A40" s="71">
        <f t="shared" si="8"/>
        <v>28</v>
      </c>
      <c r="B40" s="66">
        <f t="shared" si="2"/>
        <v>8</v>
      </c>
      <c r="C40" s="66">
        <f t="shared" si="3"/>
        <v>8</v>
      </c>
      <c r="D40" s="66">
        <f t="shared" si="4"/>
        <v>0</v>
      </c>
      <c r="E40" s="66">
        <f t="shared" si="5"/>
        <v>100</v>
      </c>
      <c r="F40" s="66">
        <f t="shared" si="6"/>
        <v>0</v>
      </c>
      <c r="G40" s="66">
        <f t="shared" si="7"/>
        <v>8</v>
      </c>
      <c r="H40" s="66"/>
      <c r="Q40" s="66">
        <f t="shared" si="0"/>
        <v>0</v>
      </c>
      <c r="R40" s="66">
        <f t="shared" si="1"/>
        <v>5.6</v>
      </c>
    </row>
    <row r="41" spans="1:18" ht="11.1" customHeight="1">
      <c r="A41" s="71">
        <f t="shared" si="8"/>
        <v>29</v>
      </c>
      <c r="B41" s="66">
        <f t="shared" si="2"/>
        <v>8</v>
      </c>
      <c r="C41" s="66">
        <f t="shared" si="3"/>
        <v>8</v>
      </c>
      <c r="D41" s="66">
        <f t="shared" si="4"/>
        <v>0</v>
      </c>
      <c r="E41" s="66">
        <f t="shared" si="5"/>
        <v>100</v>
      </c>
      <c r="F41" s="66">
        <f t="shared" si="6"/>
        <v>0</v>
      </c>
      <c r="G41" s="66">
        <f t="shared" si="7"/>
        <v>8</v>
      </c>
      <c r="H41" s="66"/>
      <c r="Q41" s="66">
        <f t="shared" si="0"/>
        <v>0</v>
      </c>
      <c r="R41" s="66">
        <f t="shared" si="1"/>
        <v>109.09999999999998</v>
      </c>
    </row>
    <row r="42" spans="1:18" ht="11.1" customHeight="1">
      <c r="A42" s="71">
        <f t="shared" si="8"/>
        <v>30</v>
      </c>
      <c r="B42" s="66">
        <f t="shared" si="2"/>
        <v>8</v>
      </c>
      <c r="C42" s="66">
        <f t="shared" si="3"/>
        <v>8</v>
      </c>
      <c r="D42" s="66">
        <f t="shared" si="4"/>
        <v>0</v>
      </c>
      <c r="E42" s="66">
        <f t="shared" si="5"/>
        <v>100</v>
      </c>
      <c r="F42" s="66">
        <f t="shared" si="6"/>
        <v>0</v>
      </c>
      <c r="G42" s="66">
        <f t="shared" si="7"/>
        <v>113</v>
      </c>
      <c r="H42" s="66"/>
    </row>
    <row r="43" spans="1:18" ht="11.1" customHeight="1">
      <c r="A43" s="71"/>
      <c r="B43" s="66"/>
      <c r="C43" s="66"/>
      <c r="D43" s="66"/>
      <c r="E43" s="66"/>
      <c r="F43" s="66"/>
      <c r="G43" s="66"/>
      <c r="H43" s="66"/>
      <c r="I43" s="66"/>
      <c r="J43" s="66"/>
    </row>
    <row r="44" spans="1:18" ht="11.1" customHeight="1">
      <c r="A44" s="71"/>
      <c r="B44" s="66"/>
      <c r="C44" s="66"/>
      <c r="D44" s="66"/>
      <c r="E44" s="66"/>
      <c r="F44" s="66"/>
      <c r="G44" s="66"/>
      <c r="H44" s="66"/>
      <c r="I44" s="66"/>
      <c r="J44" s="66"/>
    </row>
    <row r="45" spans="1:18" ht="11.1" customHeight="1">
      <c r="A45" s="71"/>
      <c r="B45" s="66"/>
      <c r="C45" s="66"/>
      <c r="D45" s="66"/>
      <c r="E45" s="66"/>
      <c r="F45" s="66"/>
      <c r="G45" s="66"/>
      <c r="H45" s="66"/>
      <c r="I45" s="66"/>
      <c r="J45" s="66"/>
    </row>
    <row r="46" spans="1:18" ht="11.1" customHeight="1">
      <c r="A46" s="71"/>
      <c r="B46" s="66"/>
      <c r="C46" s="66"/>
      <c r="D46" s="66"/>
      <c r="E46" s="66"/>
      <c r="F46" s="66"/>
      <c r="G46" s="66"/>
      <c r="H46" s="66"/>
      <c r="I46" s="66"/>
      <c r="J46" s="66"/>
    </row>
    <row r="47" spans="1:18" ht="11.1" customHeight="1">
      <c r="A47" s="71"/>
      <c r="B47" s="66"/>
      <c r="C47" s="66"/>
      <c r="D47" s="66"/>
      <c r="E47" s="66"/>
      <c r="F47" s="66"/>
      <c r="G47" s="66"/>
      <c r="H47" s="66"/>
      <c r="I47" s="66"/>
      <c r="J47" s="66"/>
    </row>
    <row r="48" spans="1:18" ht="11.1" customHeight="1">
      <c r="A48" s="71"/>
      <c r="B48" s="66"/>
      <c r="C48" s="66"/>
      <c r="D48" s="66"/>
      <c r="E48" s="66"/>
      <c r="F48" s="66"/>
      <c r="G48" s="66"/>
      <c r="H48" s="66"/>
      <c r="I48" s="66"/>
      <c r="J48" s="66"/>
    </row>
    <row r="49" spans="1:10" ht="11.1" customHeight="1">
      <c r="A49" s="71"/>
      <c r="B49" s="66"/>
      <c r="C49" s="66"/>
      <c r="D49" s="66"/>
      <c r="E49" s="66"/>
      <c r="F49" s="66"/>
      <c r="G49" s="66"/>
      <c r="H49" s="66"/>
      <c r="I49" s="66"/>
      <c r="J49" s="66"/>
    </row>
    <row r="50" spans="1:10" ht="11.1" customHeight="1">
      <c r="A50" s="71"/>
      <c r="B50" s="66"/>
      <c r="C50" s="66"/>
      <c r="D50" s="66"/>
      <c r="E50" s="66"/>
      <c r="F50" s="66"/>
      <c r="G50" s="66"/>
      <c r="H50" s="66"/>
      <c r="I50" s="66"/>
      <c r="J50" s="66"/>
    </row>
    <row r="51" spans="1:10" ht="11.1" customHeight="1">
      <c r="A51" s="71"/>
      <c r="B51" s="66"/>
      <c r="C51" s="66"/>
      <c r="D51" s="66"/>
      <c r="E51" s="66"/>
      <c r="F51" s="66"/>
      <c r="G51" s="66"/>
      <c r="H51" s="66"/>
      <c r="I51" s="66"/>
      <c r="J51" s="66"/>
    </row>
    <row r="52" spans="1:10" ht="11.1" customHeight="1">
      <c r="A52" s="71"/>
      <c r="B52" s="66"/>
      <c r="C52" s="66"/>
      <c r="D52" s="66"/>
      <c r="E52" s="66"/>
      <c r="F52" s="66"/>
      <c r="G52" s="66"/>
      <c r="H52" s="66"/>
      <c r="I52" s="66"/>
      <c r="J52" s="66"/>
    </row>
    <row r="53" spans="1:10" ht="11.1" customHeight="1">
      <c r="A53" s="71"/>
      <c r="B53" s="66"/>
      <c r="C53" s="66"/>
      <c r="D53" s="66"/>
      <c r="E53" s="66"/>
      <c r="F53" s="66"/>
      <c r="G53" s="66"/>
      <c r="H53" s="66"/>
      <c r="I53" s="66"/>
      <c r="J53" s="66"/>
    </row>
    <row r="54" spans="1:10" ht="11.1" customHeight="1">
      <c r="A54" s="71"/>
      <c r="B54" s="66"/>
      <c r="C54" s="66"/>
      <c r="D54" s="66"/>
      <c r="E54" s="66"/>
      <c r="F54" s="66"/>
      <c r="G54" s="66"/>
      <c r="H54" s="66"/>
      <c r="I54" s="66"/>
      <c r="J54" s="66"/>
    </row>
    <row r="55" spans="1:10" ht="11.1" customHeight="1">
      <c r="A55" s="71"/>
      <c r="B55" s="66"/>
      <c r="C55" s="66"/>
      <c r="D55" s="66"/>
      <c r="E55" s="66"/>
      <c r="F55" s="66"/>
      <c r="G55" s="66"/>
      <c r="H55" s="66"/>
      <c r="I55" s="66"/>
      <c r="J55" s="66"/>
    </row>
    <row r="56" spans="1:10" ht="11.1" customHeight="1">
      <c r="A56" s="71"/>
      <c r="B56" s="66"/>
      <c r="C56" s="66"/>
      <c r="D56" s="66"/>
      <c r="E56" s="66"/>
      <c r="F56" s="66"/>
      <c r="G56" s="66"/>
      <c r="H56" s="66"/>
      <c r="I56" s="66"/>
      <c r="J56" s="66"/>
    </row>
    <row r="57" spans="1:10" ht="11.1" customHeight="1">
      <c r="A57" s="71"/>
      <c r="B57" s="66"/>
      <c r="C57" s="66"/>
      <c r="D57" s="66"/>
      <c r="E57" s="66"/>
      <c r="F57" s="66"/>
      <c r="G57" s="66"/>
      <c r="H57" s="66"/>
      <c r="I57" s="66"/>
      <c r="J57" s="66"/>
    </row>
    <row r="58" spans="1:10" ht="11.1" customHeight="1">
      <c r="A58" s="71"/>
      <c r="B58" s="66"/>
      <c r="C58" s="66"/>
      <c r="D58" s="66"/>
      <c r="E58" s="66"/>
      <c r="F58" s="66"/>
      <c r="G58" s="66"/>
      <c r="H58" s="66"/>
      <c r="I58" s="66"/>
      <c r="J58" s="66"/>
    </row>
    <row r="59" spans="1:10" ht="11.1" customHeight="1">
      <c r="A59" s="71"/>
      <c r="B59" s="66"/>
      <c r="C59" s="66"/>
      <c r="D59" s="66"/>
      <c r="E59" s="66"/>
      <c r="F59" s="66"/>
      <c r="G59" s="66"/>
      <c r="H59" s="66"/>
      <c r="I59" s="66"/>
      <c r="J59" s="66"/>
    </row>
    <row r="60" spans="1:10" ht="11.1" customHeight="1">
      <c r="A60" s="71"/>
      <c r="B60" s="66"/>
      <c r="C60" s="66"/>
      <c r="D60" s="66"/>
      <c r="E60" s="66"/>
      <c r="F60" s="66"/>
      <c r="G60" s="66"/>
      <c r="H60" s="66"/>
      <c r="I60" s="66"/>
      <c r="J60" s="66"/>
    </row>
    <row r="61" spans="1:10" ht="11.1" customHeight="1">
      <c r="A61" s="71"/>
      <c r="B61" s="66"/>
      <c r="C61" s="66"/>
      <c r="D61" s="66"/>
      <c r="E61" s="66"/>
      <c r="F61" s="66"/>
      <c r="G61" s="66"/>
      <c r="H61" s="66"/>
      <c r="I61" s="66"/>
      <c r="J61" s="66"/>
    </row>
    <row r="62" spans="1:10" ht="11.1" customHeight="1">
      <c r="A62" s="71"/>
      <c r="B62" s="66"/>
      <c r="C62" s="66"/>
      <c r="D62" s="66"/>
      <c r="E62" s="66"/>
      <c r="F62" s="66"/>
      <c r="G62" s="66"/>
      <c r="H62" s="66"/>
      <c r="I62" s="66"/>
      <c r="J62" s="66"/>
    </row>
    <row r="63" spans="1:10" ht="11.1" customHeight="1">
      <c r="A63" s="71"/>
      <c r="B63" s="66"/>
      <c r="C63" s="66"/>
      <c r="D63" s="66"/>
      <c r="E63" s="66"/>
      <c r="F63" s="66"/>
      <c r="G63" s="66"/>
      <c r="H63" s="66"/>
      <c r="I63" s="66"/>
      <c r="J63" s="66"/>
    </row>
    <row r="64" spans="1:10" ht="11.1" customHeight="1">
      <c r="A64" s="71"/>
      <c r="B64" s="66"/>
      <c r="C64" s="66"/>
      <c r="D64" s="66"/>
      <c r="E64" s="66"/>
      <c r="F64" s="66"/>
      <c r="G64" s="66"/>
      <c r="H64" s="66"/>
      <c r="I64" s="66"/>
      <c r="J64" s="66"/>
    </row>
    <row r="65" spans="1:10" ht="11.1" customHeight="1">
      <c r="A65" s="71"/>
      <c r="B65" s="66"/>
      <c r="C65" s="66"/>
      <c r="D65" s="66"/>
      <c r="E65" s="66"/>
      <c r="F65" s="66"/>
      <c r="G65" s="66"/>
      <c r="H65" s="66"/>
      <c r="I65" s="66"/>
      <c r="J65" s="66"/>
    </row>
    <row r="66" spans="1:10" ht="11.1" customHeight="1">
      <c r="A66" s="71"/>
      <c r="B66" s="66"/>
      <c r="C66" s="66"/>
      <c r="D66" s="66"/>
      <c r="E66" s="66"/>
      <c r="F66" s="66"/>
      <c r="G66" s="66"/>
      <c r="H66" s="66"/>
      <c r="I66" s="66"/>
      <c r="J66" s="66"/>
    </row>
    <row r="67" spans="1:10" ht="11.1" customHeight="1">
      <c r="A67" s="71"/>
      <c r="B67" s="66"/>
      <c r="C67" s="66"/>
      <c r="D67" s="66"/>
      <c r="E67" s="66"/>
      <c r="F67" s="66"/>
      <c r="G67" s="66"/>
      <c r="H67" s="66"/>
      <c r="I67" s="66"/>
      <c r="J67" s="66"/>
    </row>
    <row r="68" spans="1:10" ht="11.1" customHeight="1">
      <c r="A68" s="71"/>
      <c r="B68" s="66"/>
      <c r="C68" s="66"/>
      <c r="D68" s="66"/>
      <c r="E68" s="66"/>
      <c r="F68" s="66"/>
      <c r="G68" s="66"/>
      <c r="H68" s="66"/>
      <c r="I68" s="66"/>
      <c r="J68" s="66"/>
    </row>
    <row r="69" spans="1:10" ht="11.1" customHeight="1">
      <c r="A69" s="71"/>
      <c r="B69" s="66"/>
      <c r="C69" s="66"/>
      <c r="D69" s="66"/>
      <c r="E69" s="66"/>
      <c r="F69" s="66"/>
      <c r="G69" s="66"/>
      <c r="H69" s="66"/>
      <c r="I69" s="66"/>
      <c r="J69" s="66"/>
    </row>
    <row r="70" spans="1:10" ht="11.1" customHeight="1">
      <c r="A70" s="71"/>
      <c r="B70" s="66"/>
      <c r="C70" s="66"/>
      <c r="D70" s="66"/>
      <c r="E70" s="66"/>
      <c r="F70" s="66"/>
      <c r="G70" s="66"/>
      <c r="H70" s="66"/>
      <c r="I70" s="66"/>
      <c r="J70" s="66"/>
    </row>
    <row r="71" spans="1:10" ht="11.1" customHeight="1">
      <c r="A71" s="71"/>
      <c r="B71" s="66"/>
      <c r="C71" s="66"/>
      <c r="D71" s="66"/>
      <c r="E71" s="66"/>
      <c r="F71" s="66"/>
      <c r="G71" s="66"/>
      <c r="H71" s="66"/>
      <c r="I71" s="66"/>
      <c r="J71" s="66"/>
    </row>
    <row r="72" spans="1:10" ht="11.1" customHeight="1">
      <c r="A72" s="71"/>
      <c r="B72" s="66"/>
      <c r="C72" s="66"/>
      <c r="D72" s="66"/>
      <c r="E72" s="66"/>
      <c r="F72" s="66"/>
      <c r="G72" s="66"/>
      <c r="H72" s="66"/>
      <c r="I72" s="66"/>
      <c r="J72" s="66"/>
    </row>
    <row r="73" spans="1:10" ht="11.1" customHeight="1">
      <c r="A73" s="71"/>
      <c r="B73" s="66"/>
      <c r="C73" s="66"/>
      <c r="D73" s="66"/>
      <c r="E73" s="66"/>
      <c r="F73" s="66"/>
      <c r="G73" s="66"/>
      <c r="H73" s="66"/>
      <c r="I73" s="66"/>
      <c r="J73" s="66"/>
    </row>
    <row r="74" spans="1:10" ht="11.1" customHeight="1">
      <c r="A74" s="71"/>
      <c r="B74" s="66"/>
      <c r="C74" s="66"/>
      <c r="D74" s="66"/>
      <c r="E74" s="66"/>
      <c r="F74" s="66"/>
      <c r="G74" s="66"/>
      <c r="H74" s="66"/>
      <c r="I74" s="66"/>
      <c r="J74" s="66"/>
    </row>
    <row r="75" spans="1:10" ht="11.1" customHeight="1">
      <c r="A75" s="71"/>
      <c r="B75" s="66"/>
      <c r="C75" s="66"/>
      <c r="D75" s="66"/>
      <c r="E75" s="66"/>
      <c r="F75" s="66"/>
      <c r="G75" s="66"/>
      <c r="H75" s="66"/>
      <c r="I75" s="66"/>
      <c r="J75" s="66"/>
    </row>
    <row r="76" spans="1:10" ht="11.1" customHeight="1">
      <c r="A76" s="71"/>
      <c r="B76" s="66"/>
      <c r="C76" s="66"/>
      <c r="D76" s="66"/>
      <c r="E76" s="66"/>
      <c r="F76" s="66"/>
      <c r="G76" s="66"/>
      <c r="H76" s="66"/>
      <c r="I76" s="66"/>
      <c r="J76" s="66"/>
    </row>
    <row r="77" spans="1:10" ht="11.1" customHeight="1">
      <c r="A77" s="71"/>
      <c r="B77" s="66"/>
      <c r="C77" s="66"/>
      <c r="D77" s="66"/>
      <c r="E77" s="66"/>
      <c r="F77" s="66"/>
      <c r="G77" s="66"/>
      <c r="H77" s="66"/>
      <c r="I77" s="66"/>
      <c r="J77" s="66"/>
    </row>
    <row r="78" spans="1:10" ht="11.1" customHeight="1">
      <c r="A78" s="71"/>
      <c r="B78" s="66"/>
      <c r="C78" s="66"/>
      <c r="D78" s="66"/>
      <c r="E78" s="66"/>
      <c r="F78" s="66"/>
      <c r="G78" s="66"/>
      <c r="H78" s="66"/>
      <c r="I78" s="66"/>
      <c r="J78" s="66"/>
    </row>
    <row r="79" spans="1:10" ht="11.1" customHeight="1">
      <c r="A79" s="71"/>
      <c r="B79" s="66"/>
      <c r="C79" s="66"/>
      <c r="D79" s="66"/>
      <c r="E79" s="66"/>
      <c r="F79" s="66"/>
      <c r="G79" s="66"/>
      <c r="H79" s="66"/>
      <c r="I79" s="66"/>
      <c r="J79" s="66"/>
    </row>
    <row r="80" spans="1:10" ht="11.1" customHeight="1">
      <c r="A80" s="71"/>
      <c r="B80" s="66"/>
      <c r="C80" s="66"/>
      <c r="D80" s="66"/>
      <c r="E80" s="66"/>
      <c r="F80" s="66"/>
      <c r="G80" s="66"/>
      <c r="H80" s="66"/>
      <c r="I80" s="66"/>
      <c r="J80" s="66"/>
    </row>
    <row r="81" spans="1:10" ht="11.1" customHeight="1">
      <c r="A81" s="71"/>
      <c r="B81" s="66"/>
      <c r="C81" s="66"/>
      <c r="D81" s="66"/>
      <c r="E81" s="66"/>
      <c r="F81" s="66"/>
      <c r="G81" s="66"/>
      <c r="H81" s="66"/>
      <c r="I81" s="66"/>
      <c r="J81" s="66"/>
    </row>
    <row r="82" spans="1:10" ht="11.1" customHeight="1">
      <c r="A82" s="71"/>
      <c r="B82" s="66"/>
      <c r="C82" s="66"/>
      <c r="D82" s="66"/>
      <c r="E82" s="66"/>
      <c r="F82" s="66"/>
      <c r="G82" s="66"/>
      <c r="H82" s="66"/>
      <c r="I82" s="66"/>
      <c r="J82" s="66"/>
    </row>
    <row r="83" spans="1:10" ht="11.1" customHeight="1">
      <c r="A83" s="71"/>
      <c r="B83" s="66"/>
      <c r="C83" s="66"/>
      <c r="D83" s="66"/>
      <c r="E83" s="66"/>
      <c r="F83" s="66"/>
      <c r="G83" s="66"/>
      <c r="H83" s="66"/>
      <c r="I83" s="66"/>
      <c r="J83" s="66"/>
    </row>
    <row r="84" spans="1:10" ht="11.1" customHeight="1">
      <c r="A84" s="71"/>
      <c r="B84" s="66"/>
      <c r="C84" s="66"/>
      <c r="D84" s="66"/>
      <c r="E84" s="66"/>
      <c r="F84" s="66"/>
      <c r="G84" s="66"/>
      <c r="H84" s="66"/>
      <c r="I84" s="66"/>
      <c r="J84" s="66"/>
    </row>
    <row r="85" spans="1:10" ht="11.1" customHeight="1">
      <c r="A85" s="71"/>
      <c r="B85" s="66"/>
      <c r="C85" s="66"/>
      <c r="D85" s="66"/>
      <c r="E85" s="66"/>
      <c r="F85" s="66"/>
      <c r="G85" s="66"/>
      <c r="H85" s="66"/>
      <c r="I85" s="66"/>
      <c r="J85" s="66"/>
    </row>
    <row r="86" spans="1:10" ht="11.1" customHeight="1">
      <c r="A86" s="71"/>
      <c r="B86" s="66"/>
      <c r="C86" s="66"/>
      <c r="D86" s="66"/>
      <c r="E86" s="66"/>
      <c r="F86" s="66"/>
      <c r="G86" s="66"/>
      <c r="H86" s="66"/>
      <c r="I86" s="66"/>
      <c r="J86" s="66"/>
    </row>
    <row r="87" spans="1:10" ht="11.1" customHeight="1">
      <c r="A87" s="71"/>
      <c r="B87" s="66"/>
      <c r="C87" s="66"/>
      <c r="D87" s="66"/>
      <c r="E87" s="66"/>
      <c r="F87" s="66"/>
      <c r="G87" s="66"/>
      <c r="H87" s="66"/>
      <c r="I87" s="66"/>
      <c r="J87" s="66"/>
    </row>
    <row r="88" spans="1:10" ht="11.1" customHeight="1">
      <c r="A88" s="71"/>
      <c r="B88" s="66"/>
      <c r="C88" s="66"/>
      <c r="D88" s="66"/>
      <c r="E88" s="66"/>
      <c r="F88" s="66"/>
      <c r="G88" s="66"/>
      <c r="H88" s="66"/>
      <c r="I88" s="66"/>
      <c r="J88" s="66"/>
    </row>
    <row r="89" spans="1:10" ht="11.1" customHeight="1">
      <c r="A89" s="71"/>
      <c r="B89" s="66"/>
      <c r="C89" s="66"/>
      <c r="D89" s="66"/>
      <c r="E89" s="66"/>
      <c r="F89" s="66"/>
      <c r="G89" s="66"/>
      <c r="H89" s="66"/>
      <c r="I89" s="66"/>
      <c r="J89" s="66"/>
    </row>
    <row r="90" spans="1:10" ht="11.1" customHeight="1">
      <c r="A90" s="71"/>
      <c r="B90" s="66"/>
      <c r="C90" s="66"/>
      <c r="D90" s="66"/>
      <c r="E90" s="66"/>
      <c r="F90" s="66"/>
      <c r="G90" s="66"/>
      <c r="H90" s="66"/>
      <c r="I90" s="66"/>
      <c r="J90" s="66"/>
    </row>
    <row r="91" spans="1:10" ht="11.1" customHeight="1">
      <c r="A91" s="71"/>
      <c r="B91" s="66"/>
      <c r="C91" s="66"/>
      <c r="D91" s="66"/>
      <c r="E91" s="66"/>
      <c r="F91" s="66"/>
      <c r="G91" s="66"/>
      <c r="H91" s="66"/>
      <c r="I91" s="66"/>
      <c r="J91" s="66"/>
    </row>
    <row r="92" spans="1:10" ht="11.1" customHeight="1">
      <c r="A92" s="71"/>
      <c r="B92" s="66"/>
      <c r="C92" s="66"/>
      <c r="D92" s="66"/>
      <c r="E92" s="66"/>
      <c r="F92" s="66"/>
      <c r="G92" s="66"/>
      <c r="H92" s="66"/>
      <c r="I92" s="66"/>
      <c r="J92" s="66"/>
    </row>
    <row r="93" spans="1:10" ht="11.1" customHeight="1">
      <c r="A93" s="71"/>
      <c r="B93" s="66"/>
      <c r="C93" s="66"/>
      <c r="D93" s="66"/>
      <c r="E93" s="66"/>
      <c r="F93" s="66"/>
      <c r="G93" s="66"/>
      <c r="H93" s="66"/>
      <c r="I93" s="66"/>
      <c r="J93" s="66"/>
    </row>
    <row r="94" spans="1:10" ht="11.1" customHeight="1">
      <c r="A94" s="71"/>
      <c r="B94" s="66"/>
      <c r="C94" s="66"/>
      <c r="D94" s="66"/>
      <c r="E94" s="66"/>
      <c r="F94" s="66"/>
      <c r="G94" s="66"/>
      <c r="H94" s="66"/>
      <c r="I94" s="66"/>
      <c r="J94" s="66"/>
    </row>
    <row r="95" spans="1:10" ht="11.1" customHeight="1">
      <c r="A95" s="71"/>
      <c r="B95" s="66"/>
      <c r="C95" s="66"/>
      <c r="D95" s="66"/>
      <c r="E95" s="66"/>
      <c r="F95" s="66"/>
      <c r="G95" s="66"/>
      <c r="H95" s="66"/>
      <c r="I95" s="66"/>
      <c r="J95" s="66"/>
    </row>
    <row r="96" spans="1:10" ht="11.1" customHeight="1">
      <c r="A96" s="71"/>
      <c r="B96" s="66"/>
      <c r="C96" s="66"/>
      <c r="D96" s="66"/>
      <c r="E96" s="66"/>
      <c r="F96" s="66"/>
      <c r="G96" s="66"/>
      <c r="H96" s="66"/>
      <c r="I96" s="66"/>
      <c r="J96" s="66"/>
    </row>
    <row r="97" spans="1:10" ht="11.1" customHeight="1">
      <c r="A97" s="71"/>
      <c r="B97" s="66"/>
      <c r="C97" s="66"/>
      <c r="D97" s="66"/>
      <c r="E97" s="66"/>
      <c r="F97" s="66"/>
      <c r="G97" s="66"/>
      <c r="H97" s="66"/>
      <c r="I97" s="66"/>
      <c r="J97" s="66"/>
    </row>
    <row r="98" spans="1:10" ht="11.1" customHeight="1">
      <c r="A98" s="71"/>
      <c r="B98" s="66"/>
      <c r="C98" s="66"/>
      <c r="D98" s="66"/>
      <c r="E98" s="66"/>
      <c r="F98" s="66"/>
      <c r="G98" s="66"/>
      <c r="H98" s="66"/>
      <c r="I98" s="66"/>
      <c r="J98" s="66"/>
    </row>
    <row r="99" spans="1:10" ht="11.1" customHeight="1">
      <c r="A99" s="71"/>
      <c r="B99" s="66"/>
      <c r="C99" s="66"/>
      <c r="D99" s="66"/>
      <c r="E99" s="66"/>
      <c r="F99" s="66"/>
      <c r="G99" s="66"/>
      <c r="H99" s="66"/>
      <c r="I99" s="66"/>
      <c r="J99" s="66"/>
    </row>
    <row r="100" spans="1:10" ht="11.1" customHeight="1">
      <c r="A100" s="71"/>
      <c r="B100" s="66"/>
      <c r="C100" s="66"/>
      <c r="D100" s="66"/>
      <c r="E100" s="66"/>
      <c r="F100" s="66"/>
      <c r="G100" s="66"/>
      <c r="H100" s="66"/>
      <c r="I100" s="66"/>
      <c r="J100" s="66"/>
    </row>
    <row r="101" spans="1:10" ht="11.1" customHeight="1">
      <c r="A101" s="71"/>
      <c r="B101" s="66"/>
      <c r="C101" s="66"/>
      <c r="D101" s="66"/>
      <c r="E101" s="66"/>
      <c r="F101" s="66"/>
      <c r="G101" s="66"/>
      <c r="H101" s="66"/>
      <c r="I101" s="66"/>
      <c r="J101" s="66"/>
    </row>
    <row r="102" spans="1:10" ht="11.1" customHeight="1">
      <c r="A102" s="71"/>
      <c r="B102" s="66"/>
      <c r="C102" s="66"/>
      <c r="D102" s="66"/>
      <c r="E102" s="66"/>
      <c r="F102" s="66"/>
      <c r="G102" s="66"/>
      <c r="H102" s="66"/>
      <c r="I102" s="66"/>
      <c r="J102" s="66"/>
    </row>
    <row r="103" spans="1:10" ht="11.1" customHeight="1">
      <c r="A103" s="71"/>
      <c r="B103" s="66"/>
      <c r="C103" s="66"/>
      <c r="D103" s="66"/>
      <c r="E103" s="66"/>
      <c r="F103" s="66"/>
      <c r="G103" s="66"/>
      <c r="H103" s="66"/>
      <c r="I103" s="66"/>
      <c r="J103" s="66"/>
    </row>
    <row r="104" spans="1:10" ht="11.1" customHeight="1">
      <c r="A104" s="71"/>
      <c r="B104" s="66"/>
      <c r="C104" s="66"/>
      <c r="D104" s="66"/>
      <c r="E104" s="66"/>
      <c r="F104" s="66"/>
      <c r="G104" s="66"/>
      <c r="H104" s="66"/>
      <c r="I104" s="66"/>
      <c r="J104" s="66"/>
    </row>
    <row r="105" spans="1:10" ht="11.1" customHeight="1">
      <c r="A105" s="71"/>
      <c r="B105" s="66"/>
      <c r="C105" s="66"/>
      <c r="D105" s="66"/>
      <c r="E105" s="66"/>
      <c r="F105" s="66"/>
      <c r="G105" s="66"/>
      <c r="H105" s="66"/>
      <c r="I105" s="66"/>
      <c r="J105" s="66"/>
    </row>
    <row r="106" spans="1:10" ht="11.1" customHeight="1">
      <c r="A106" s="71"/>
      <c r="B106" s="66"/>
      <c r="C106" s="66"/>
      <c r="D106" s="66"/>
      <c r="E106" s="66"/>
      <c r="F106" s="66"/>
      <c r="G106" s="66"/>
      <c r="H106" s="66"/>
      <c r="I106" s="66"/>
      <c r="J106" s="66"/>
    </row>
    <row r="107" spans="1:10" ht="11.1" customHeight="1">
      <c r="A107" s="71"/>
      <c r="B107" s="66"/>
      <c r="C107" s="66"/>
      <c r="D107" s="66"/>
      <c r="E107" s="66"/>
      <c r="F107" s="66"/>
      <c r="G107" s="66"/>
      <c r="H107" s="66"/>
      <c r="I107" s="66"/>
      <c r="J107" s="66"/>
    </row>
    <row r="108" spans="1:10" ht="11.1" customHeight="1">
      <c r="A108" s="71"/>
      <c r="B108" s="66"/>
      <c r="C108" s="66"/>
      <c r="D108" s="66"/>
      <c r="E108" s="66"/>
      <c r="F108" s="66"/>
      <c r="G108" s="66"/>
      <c r="H108" s="66"/>
      <c r="I108" s="66"/>
      <c r="J108" s="66"/>
    </row>
    <row r="109" spans="1:10" ht="11.1" customHeight="1">
      <c r="A109" s="71"/>
      <c r="B109" s="66"/>
      <c r="C109" s="66"/>
      <c r="D109" s="66"/>
      <c r="E109" s="66"/>
      <c r="F109" s="66"/>
      <c r="G109" s="66"/>
      <c r="H109" s="66"/>
      <c r="I109" s="66"/>
      <c r="J109" s="66"/>
    </row>
    <row r="110" spans="1:10" ht="11.1" customHeight="1">
      <c r="A110" s="71"/>
      <c r="B110" s="66"/>
      <c r="C110" s="66"/>
      <c r="D110" s="66"/>
      <c r="E110" s="66"/>
      <c r="F110" s="66"/>
      <c r="G110" s="66"/>
      <c r="H110" s="66"/>
      <c r="I110" s="66"/>
      <c r="J110" s="66"/>
    </row>
    <row r="111" spans="1:10" ht="11.1" customHeight="1">
      <c r="A111" s="71"/>
      <c r="B111" s="66"/>
      <c r="C111" s="66"/>
      <c r="D111" s="66"/>
      <c r="E111" s="66"/>
      <c r="F111" s="66"/>
      <c r="G111" s="66"/>
      <c r="H111" s="66"/>
      <c r="I111" s="66"/>
      <c r="J111" s="66"/>
    </row>
    <row r="112" spans="1:10" ht="11.1" customHeight="1">
      <c r="A112" s="71"/>
      <c r="B112" s="66"/>
      <c r="C112" s="66"/>
      <c r="D112" s="66"/>
      <c r="E112" s="66"/>
      <c r="F112" s="66"/>
      <c r="G112" s="66"/>
      <c r="H112" s="66"/>
      <c r="I112" s="66"/>
      <c r="J112" s="66"/>
    </row>
    <row r="113" spans="1:10" ht="11.1" customHeight="1">
      <c r="A113" s="71"/>
      <c r="B113" s="66"/>
      <c r="C113" s="66"/>
      <c r="D113" s="66"/>
      <c r="E113" s="66"/>
      <c r="F113" s="66"/>
      <c r="G113" s="66"/>
      <c r="H113" s="66"/>
      <c r="I113" s="66"/>
      <c r="J113" s="66"/>
    </row>
    <row r="114" spans="1:10" ht="11.1" customHeight="1">
      <c r="A114" s="71"/>
      <c r="B114" s="66"/>
      <c r="C114" s="66"/>
      <c r="D114" s="66"/>
      <c r="E114" s="66"/>
      <c r="F114" s="66"/>
      <c r="G114" s="66"/>
      <c r="H114" s="66"/>
      <c r="I114" s="66"/>
      <c r="J114" s="66"/>
    </row>
    <row r="115" spans="1:10" ht="11.1" customHeight="1">
      <c r="A115" s="71"/>
      <c r="B115" s="66"/>
      <c r="C115" s="66"/>
      <c r="D115" s="66"/>
      <c r="E115" s="66"/>
      <c r="F115" s="66"/>
      <c r="G115" s="66"/>
      <c r="H115" s="66"/>
      <c r="I115" s="66"/>
      <c r="J115" s="66"/>
    </row>
    <row r="116" spans="1:10" ht="11.1" customHeight="1">
      <c r="A116" s="71"/>
      <c r="B116" s="66"/>
      <c r="C116" s="66"/>
      <c r="D116" s="66"/>
      <c r="E116" s="66"/>
      <c r="F116" s="66"/>
      <c r="G116" s="66"/>
      <c r="H116" s="66"/>
      <c r="I116" s="66"/>
      <c r="J116" s="66"/>
    </row>
    <row r="117" spans="1:10" ht="11.1" customHeight="1">
      <c r="A117" s="71"/>
      <c r="B117" s="66"/>
      <c r="C117" s="66"/>
      <c r="D117" s="66"/>
      <c r="E117" s="66"/>
      <c r="F117" s="66"/>
      <c r="G117" s="66"/>
      <c r="H117" s="66"/>
      <c r="I117" s="66"/>
      <c r="J117" s="66"/>
    </row>
    <row r="118" spans="1:10" ht="11.1" customHeight="1">
      <c r="A118" s="71"/>
      <c r="B118" s="66"/>
      <c r="C118" s="66"/>
      <c r="D118" s="66"/>
      <c r="E118" s="66"/>
      <c r="F118" s="66"/>
      <c r="G118" s="66"/>
      <c r="H118" s="66"/>
      <c r="I118" s="66"/>
      <c r="J118" s="66"/>
    </row>
    <row r="119" spans="1:10" ht="11.1" customHeight="1">
      <c r="A119" s="71"/>
      <c r="B119" s="66"/>
      <c r="C119" s="66"/>
      <c r="D119" s="66"/>
      <c r="E119" s="66"/>
      <c r="F119" s="66"/>
      <c r="G119" s="66"/>
      <c r="H119" s="66"/>
      <c r="I119" s="66"/>
      <c r="J119" s="66"/>
    </row>
    <row r="120" spans="1:10" ht="11.1" customHeight="1">
      <c r="A120" s="71"/>
      <c r="B120" s="66"/>
      <c r="C120" s="66"/>
      <c r="D120" s="66"/>
      <c r="E120" s="66"/>
      <c r="F120" s="66"/>
      <c r="G120" s="66"/>
      <c r="H120" s="66"/>
      <c r="I120" s="66"/>
      <c r="J120" s="66"/>
    </row>
    <row r="121" spans="1:10" ht="11.1" customHeight="1">
      <c r="A121" s="71"/>
      <c r="B121" s="66"/>
      <c r="C121" s="66"/>
      <c r="D121" s="66"/>
      <c r="E121" s="66"/>
      <c r="F121" s="66"/>
      <c r="G121" s="66"/>
      <c r="H121" s="66"/>
      <c r="I121" s="66"/>
      <c r="J121" s="66"/>
    </row>
    <row r="122" spans="1:10" ht="11.1" customHeight="1">
      <c r="A122" s="71"/>
      <c r="B122" s="66"/>
      <c r="C122" s="66"/>
      <c r="D122" s="66"/>
      <c r="E122" s="66"/>
      <c r="F122" s="66"/>
      <c r="G122" s="66"/>
      <c r="H122" s="66"/>
      <c r="I122" s="66"/>
      <c r="J122" s="66"/>
    </row>
    <row r="123" spans="1:10" ht="11.1" customHeight="1">
      <c r="A123" s="71"/>
      <c r="B123" s="66"/>
      <c r="C123" s="66"/>
      <c r="D123" s="66"/>
      <c r="E123" s="66"/>
      <c r="F123" s="66"/>
      <c r="G123" s="66"/>
      <c r="H123" s="66"/>
      <c r="I123" s="66"/>
      <c r="J123" s="66"/>
    </row>
    <row r="124" spans="1:10" ht="11.1" customHeight="1">
      <c r="A124" s="71"/>
      <c r="B124" s="66"/>
      <c r="C124" s="66"/>
      <c r="D124" s="66"/>
      <c r="E124" s="66"/>
      <c r="F124" s="66"/>
      <c r="G124" s="66"/>
      <c r="H124" s="66"/>
      <c r="I124" s="66"/>
      <c r="J124" s="66"/>
    </row>
    <row r="125" spans="1:10" ht="11.1" customHeight="1">
      <c r="A125" s="71"/>
      <c r="B125" s="66"/>
      <c r="C125" s="66"/>
      <c r="D125" s="66"/>
      <c r="E125" s="66"/>
      <c r="F125" s="66"/>
      <c r="G125" s="66"/>
      <c r="H125" s="66"/>
      <c r="I125" s="66"/>
      <c r="J125" s="66"/>
    </row>
    <row r="126" spans="1:10" ht="11.1" customHeight="1">
      <c r="A126" s="71"/>
      <c r="B126" s="66"/>
      <c r="C126" s="66"/>
      <c r="D126" s="66"/>
      <c r="E126" s="66"/>
      <c r="F126" s="66"/>
      <c r="G126" s="66"/>
      <c r="H126" s="66"/>
      <c r="I126" s="66"/>
      <c r="J126" s="66"/>
    </row>
    <row r="127" spans="1:10" ht="11.1" customHeight="1">
      <c r="A127" s="71"/>
      <c r="B127" s="66"/>
      <c r="C127" s="66"/>
      <c r="D127" s="66"/>
      <c r="E127" s="66"/>
      <c r="F127" s="66"/>
      <c r="G127" s="66"/>
      <c r="H127" s="66"/>
      <c r="I127" s="66"/>
      <c r="J127" s="66"/>
    </row>
    <row r="128" spans="1:10" ht="11.1" customHeight="1">
      <c r="A128" s="71"/>
      <c r="B128" s="66"/>
      <c r="C128" s="66"/>
      <c r="D128" s="66"/>
      <c r="E128" s="66"/>
      <c r="F128" s="66"/>
      <c r="G128" s="66"/>
      <c r="H128" s="66"/>
      <c r="I128" s="66"/>
      <c r="J128" s="66"/>
    </row>
    <row r="129" spans="1:10" ht="11.1" customHeight="1">
      <c r="A129" s="71"/>
      <c r="B129" s="66"/>
      <c r="C129" s="66"/>
      <c r="D129" s="66"/>
      <c r="E129" s="66"/>
      <c r="F129" s="66"/>
      <c r="G129" s="66"/>
      <c r="H129" s="66"/>
      <c r="I129" s="66"/>
      <c r="J129" s="66"/>
    </row>
    <row r="130" spans="1:10" ht="11.1" customHeight="1">
      <c r="A130" s="71"/>
      <c r="B130" s="66"/>
      <c r="C130" s="66"/>
      <c r="D130" s="66"/>
      <c r="E130" s="66"/>
      <c r="F130" s="66"/>
      <c r="G130" s="66"/>
      <c r="H130" s="66"/>
      <c r="I130" s="66"/>
      <c r="J130" s="66"/>
    </row>
    <row r="131" spans="1:10" ht="11.1" customHeight="1">
      <c r="A131" s="71"/>
      <c r="B131" s="66"/>
      <c r="C131" s="66"/>
      <c r="D131" s="66"/>
      <c r="E131" s="66"/>
      <c r="F131" s="66"/>
      <c r="G131" s="66"/>
      <c r="H131" s="66"/>
      <c r="I131" s="66"/>
      <c r="J131" s="66"/>
    </row>
    <row r="132" spans="1:10" ht="11.1" customHeight="1">
      <c r="A132" s="71"/>
      <c r="B132" s="66"/>
      <c r="C132" s="66"/>
      <c r="D132" s="66"/>
      <c r="E132" s="66"/>
      <c r="F132" s="66"/>
      <c r="G132" s="66"/>
      <c r="H132" s="66"/>
      <c r="I132" s="66"/>
      <c r="J132" s="66"/>
    </row>
    <row r="133" spans="1:10" ht="11.1" customHeight="1">
      <c r="A133" s="71"/>
      <c r="B133" s="66"/>
      <c r="C133" s="66"/>
      <c r="D133" s="66"/>
      <c r="E133" s="66"/>
      <c r="F133" s="66"/>
      <c r="G133" s="66"/>
      <c r="H133" s="66"/>
      <c r="I133" s="66"/>
      <c r="J133" s="66"/>
    </row>
    <row r="134" spans="1:10" ht="11.1" customHeight="1">
      <c r="A134" s="71"/>
      <c r="B134" s="66"/>
      <c r="C134" s="66"/>
      <c r="D134" s="66"/>
      <c r="E134" s="66"/>
      <c r="F134" s="66"/>
      <c r="G134" s="66"/>
      <c r="H134" s="66"/>
      <c r="I134" s="66"/>
      <c r="J134" s="66"/>
    </row>
    <row r="135" spans="1:10" ht="11.1" customHeight="1">
      <c r="A135" s="71"/>
      <c r="B135" s="66"/>
      <c r="C135" s="66"/>
      <c r="D135" s="66"/>
      <c r="E135" s="66"/>
      <c r="F135" s="66"/>
      <c r="G135" s="66"/>
      <c r="H135" s="66"/>
      <c r="I135" s="66"/>
      <c r="J135" s="66"/>
    </row>
    <row r="136" spans="1:10" ht="11.1" customHeight="1">
      <c r="A136" s="71"/>
      <c r="B136" s="66"/>
      <c r="C136" s="66"/>
      <c r="D136" s="66"/>
      <c r="E136" s="66"/>
      <c r="F136" s="66"/>
      <c r="G136" s="66"/>
      <c r="H136" s="66"/>
      <c r="I136" s="66"/>
      <c r="J136" s="66"/>
    </row>
    <row r="137" spans="1:10" ht="11.1" customHeight="1">
      <c r="A137" s="71"/>
      <c r="B137" s="66"/>
      <c r="C137" s="66"/>
      <c r="D137" s="66"/>
      <c r="E137" s="66"/>
      <c r="F137" s="66"/>
      <c r="G137" s="66"/>
      <c r="H137" s="66"/>
      <c r="I137" s="66"/>
      <c r="J137" s="66"/>
    </row>
    <row r="138" spans="1:10" ht="11.1" customHeight="1">
      <c r="A138" s="71"/>
      <c r="B138" s="66"/>
      <c r="C138" s="66"/>
      <c r="D138" s="66"/>
      <c r="E138" s="66"/>
      <c r="F138" s="66"/>
      <c r="G138" s="66"/>
      <c r="H138" s="66"/>
      <c r="I138" s="66"/>
      <c r="J138" s="66"/>
    </row>
    <row r="139" spans="1:10" ht="11.1" customHeight="1">
      <c r="A139" s="71"/>
      <c r="B139" s="66"/>
      <c r="C139" s="66"/>
      <c r="D139" s="66"/>
      <c r="E139" s="66"/>
      <c r="F139" s="66"/>
      <c r="G139" s="66"/>
      <c r="H139" s="66"/>
      <c r="I139" s="66"/>
      <c r="J139" s="66"/>
    </row>
    <row r="140" spans="1:10" ht="11.1" customHeight="1">
      <c r="A140" s="71"/>
      <c r="B140" s="66"/>
      <c r="C140" s="66"/>
      <c r="D140" s="66"/>
      <c r="E140" s="66"/>
      <c r="F140" s="66"/>
      <c r="G140" s="66"/>
      <c r="H140" s="66"/>
      <c r="I140" s="66"/>
      <c r="J140" s="66"/>
    </row>
    <row r="141" spans="1:10" ht="11.1" customHeight="1">
      <c r="A141" s="71"/>
      <c r="B141" s="66"/>
      <c r="C141" s="66"/>
      <c r="D141" s="66"/>
      <c r="E141" s="66"/>
      <c r="F141" s="66"/>
      <c r="G141" s="66"/>
      <c r="H141" s="66"/>
      <c r="I141" s="66"/>
      <c r="J141" s="66"/>
    </row>
    <row r="142" spans="1:10" ht="11.1" customHeight="1">
      <c r="A142" s="71"/>
      <c r="B142" s="66"/>
      <c r="C142" s="66"/>
      <c r="D142" s="66"/>
      <c r="E142" s="66"/>
      <c r="F142" s="66"/>
      <c r="G142" s="66"/>
      <c r="H142" s="66"/>
      <c r="I142" s="66"/>
      <c r="J142" s="66"/>
    </row>
    <row r="143" spans="1:10" ht="11.1" customHeight="1">
      <c r="A143" s="71"/>
      <c r="B143" s="66"/>
      <c r="C143" s="66"/>
      <c r="D143" s="66"/>
      <c r="E143" s="66"/>
      <c r="F143" s="66"/>
      <c r="G143" s="66"/>
      <c r="H143" s="66"/>
      <c r="I143" s="66"/>
      <c r="J143" s="66"/>
    </row>
    <row r="144" spans="1:10" ht="11.1" customHeight="1">
      <c r="A144" s="71"/>
      <c r="B144" s="66"/>
      <c r="C144" s="66"/>
      <c r="D144" s="66"/>
      <c r="E144" s="66"/>
      <c r="F144" s="66"/>
      <c r="G144" s="66"/>
      <c r="H144" s="66"/>
      <c r="I144" s="66"/>
      <c r="J144" s="66"/>
    </row>
    <row r="145" spans="1:10" ht="11.1" customHeight="1">
      <c r="A145" s="71"/>
      <c r="B145" s="66"/>
      <c r="C145" s="66"/>
      <c r="D145" s="66"/>
      <c r="E145" s="66"/>
      <c r="F145" s="66"/>
      <c r="G145" s="66"/>
      <c r="H145" s="66"/>
      <c r="I145" s="66"/>
      <c r="J145" s="66"/>
    </row>
    <row r="146" spans="1:10" ht="11.1" customHeight="1">
      <c r="A146" s="71"/>
      <c r="B146" s="66"/>
      <c r="C146" s="66"/>
      <c r="D146" s="66"/>
      <c r="E146" s="66"/>
      <c r="F146" s="66"/>
      <c r="G146" s="66"/>
      <c r="H146" s="66"/>
      <c r="I146" s="66"/>
      <c r="J146" s="66"/>
    </row>
    <row r="147" spans="1:10" ht="11.1" customHeight="1">
      <c r="A147" s="71"/>
      <c r="B147" s="66"/>
      <c r="C147" s="66"/>
      <c r="D147" s="66"/>
      <c r="E147" s="66"/>
      <c r="F147" s="66"/>
      <c r="G147" s="66"/>
      <c r="H147" s="66"/>
      <c r="I147" s="66"/>
      <c r="J147" s="66"/>
    </row>
    <row r="148" spans="1:10" ht="11.1" customHeight="1">
      <c r="A148" s="71"/>
      <c r="B148" s="66"/>
      <c r="C148" s="66"/>
      <c r="D148" s="66"/>
      <c r="E148" s="66"/>
      <c r="F148" s="66"/>
      <c r="G148" s="66"/>
      <c r="H148" s="66"/>
      <c r="I148" s="66"/>
      <c r="J148" s="66"/>
    </row>
    <row r="149" spans="1:10" ht="11.1" customHeight="1">
      <c r="A149" s="71"/>
      <c r="B149" s="66"/>
      <c r="C149" s="66"/>
      <c r="D149" s="66"/>
      <c r="E149" s="66"/>
      <c r="F149" s="66"/>
      <c r="G149" s="66"/>
      <c r="H149" s="66"/>
      <c r="I149" s="66"/>
      <c r="J149" s="66"/>
    </row>
    <row r="150" spans="1:10" ht="11.1" customHeight="1">
      <c r="A150" s="71"/>
      <c r="B150" s="66"/>
      <c r="C150" s="66"/>
      <c r="D150" s="66"/>
      <c r="E150" s="66"/>
      <c r="F150" s="66"/>
      <c r="G150" s="66"/>
      <c r="H150" s="66"/>
      <c r="I150" s="66"/>
      <c r="J150" s="66"/>
    </row>
    <row r="151" spans="1:10" ht="11.1" customHeight="1">
      <c r="A151" s="71"/>
      <c r="B151" s="66"/>
      <c r="C151" s="66"/>
      <c r="D151" s="66"/>
      <c r="E151" s="66"/>
      <c r="F151" s="66"/>
      <c r="G151" s="66"/>
      <c r="H151" s="66"/>
      <c r="I151" s="66"/>
      <c r="J151" s="66"/>
    </row>
    <row r="152" spans="1:10" ht="11.1" customHeight="1">
      <c r="A152" s="71"/>
      <c r="B152" s="66"/>
      <c r="C152" s="66"/>
      <c r="D152" s="66"/>
      <c r="E152" s="66"/>
      <c r="F152" s="66"/>
      <c r="G152" s="66"/>
      <c r="H152" s="66"/>
      <c r="I152" s="66"/>
      <c r="J152" s="66"/>
    </row>
    <row r="153" spans="1:10" ht="11.1" customHeight="1">
      <c r="A153" s="71"/>
      <c r="B153" s="66"/>
      <c r="C153" s="66"/>
      <c r="D153" s="66"/>
      <c r="E153" s="66"/>
      <c r="F153" s="66"/>
      <c r="G153" s="66"/>
      <c r="H153" s="66"/>
      <c r="I153" s="66"/>
      <c r="J153" s="66"/>
    </row>
    <row r="154" spans="1:10" ht="11.1" customHeight="1">
      <c r="A154" s="71"/>
      <c r="B154" s="66"/>
      <c r="C154" s="66"/>
      <c r="D154" s="66"/>
      <c r="E154" s="66"/>
      <c r="F154" s="66"/>
      <c r="G154" s="66"/>
      <c r="H154" s="66"/>
      <c r="I154" s="66"/>
      <c r="J154" s="66"/>
    </row>
    <row r="155" spans="1:10" ht="11.1" customHeight="1">
      <c r="A155" s="71"/>
      <c r="B155" s="66"/>
      <c r="C155" s="66"/>
      <c r="D155" s="66"/>
      <c r="E155" s="66"/>
      <c r="F155" s="66"/>
      <c r="G155" s="66"/>
      <c r="H155" s="66"/>
      <c r="I155" s="66"/>
      <c r="J155" s="66"/>
    </row>
    <row r="156" spans="1:10" ht="11.1" customHeight="1">
      <c r="A156" s="71"/>
      <c r="B156" s="66"/>
      <c r="C156" s="66"/>
      <c r="D156" s="66"/>
      <c r="E156" s="66"/>
      <c r="F156" s="66"/>
      <c r="G156" s="66"/>
      <c r="H156" s="66"/>
      <c r="I156" s="66"/>
      <c r="J156" s="66"/>
    </row>
    <row r="157" spans="1:10" ht="11.1" customHeight="1">
      <c r="A157" s="71"/>
      <c r="B157" s="66"/>
      <c r="C157" s="66"/>
      <c r="D157" s="66"/>
      <c r="E157" s="66"/>
      <c r="F157" s="66"/>
      <c r="G157" s="66"/>
      <c r="H157" s="66"/>
      <c r="I157" s="66"/>
      <c r="J157" s="66"/>
    </row>
    <row r="158" spans="1:10" ht="11.1" customHeight="1">
      <c r="A158" s="71"/>
      <c r="B158" s="66"/>
      <c r="C158" s="66"/>
      <c r="D158" s="66"/>
      <c r="E158" s="66"/>
      <c r="F158" s="66"/>
      <c r="G158" s="66"/>
      <c r="H158" s="66"/>
      <c r="I158" s="66"/>
      <c r="J158" s="66"/>
    </row>
    <row r="159" spans="1:10" ht="11.1" customHeight="1">
      <c r="A159" s="71"/>
      <c r="B159" s="66"/>
      <c r="C159" s="66"/>
      <c r="D159" s="66"/>
      <c r="E159" s="66"/>
      <c r="F159" s="66"/>
      <c r="G159" s="66"/>
      <c r="H159" s="66"/>
      <c r="I159" s="66"/>
      <c r="J159" s="66"/>
    </row>
    <row r="160" spans="1:10" ht="11.1" customHeight="1">
      <c r="A160" s="71"/>
      <c r="B160" s="66"/>
      <c r="C160" s="66"/>
      <c r="D160" s="66"/>
      <c r="E160" s="66"/>
      <c r="F160" s="66"/>
      <c r="G160" s="66"/>
      <c r="H160" s="66"/>
      <c r="I160" s="66"/>
      <c r="J160" s="66"/>
    </row>
    <row r="161" spans="1:10" ht="11.1" customHeight="1">
      <c r="A161" s="71"/>
      <c r="B161" s="66"/>
      <c r="C161" s="66"/>
      <c r="D161" s="66"/>
      <c r="E161" s="66"/>
      <c r="F161" s="66"/>
      <c r="G161" s="66"/>
      <c r="H161" s="66"/>
      <c r="I161" s="66"/>
      <c r="J161" s="66"/>
    </row>
    <row r="162" spans="1:10" ht="11.1" customHeight="1">
      <c r="A162" s="71"/>
      <c r="B162" s="66"/>
      <c r="C162" s="66"/>
      <c r="D162" s="66"/>
      <c r="E162" s="66"/>
      <c r="F162" s="66"/>
      <c r="G162" s="66"/>
      <c r="H162" s="66"/>
      <c r="I162" s="66"/>
      <c r="J162" s="66"/>
    </row>
    <row r="163" spans="1:10" ht="11.1" customHeight="1">
      <c r="A163" s="71"/>
      <c r="B163" s="66"/>
      <c r="C163" s="66"/>
      <c r="D163" s="66"/>
      <c r="E163" s="66"/>
      <c r="F163" s="66"/>
      <c r="G163" s="66"/>
      <c r="H163" s="66"/>
      <c r="I163" s="66"/>
      <c r="J163" s="66"/>
    </row>
    <row r="164" spans="1:10" ht="11.1" customHeight="1">
      <c r="A164" s="71"/>
      <c r="B164" s="66"/>
      <c r="C164" s="66"/>
      <c r="D164" s="66"/>
      <c r="E164" s="66"/>
      <c r="F164" s="66"/>
      <c r="G164" s="66"/>
      <c r="H164" s="66"/>
      <c r="I164" s="66"/>
      <c r="J164" s="66"/>
    </row>
    <row r="165" spans="1:10" ht="11.1" customHeight="1">
      <c r="A165" s="71"/>
      <c r="B165" s="66"/>
      <c r="C165" s="66"/>
      <c r="D165" s="66"/>
      <c r="E165" s="66"/>
      <c r="F165" s="66"/>
      <c r="G165" s="66"/>
      <c r="H165" s="66"/>
      <c r="I165" s="66"/>
      <c r="J165" s="66"/>
    </row>
    <row r="166" spans="1:10" ht="11.1" customHeight="1">
      <c r="A166" s="71"/>
      <c r="B166" s="66"/>
      <c r="C166" s="66"/>
      <c r="D166" s="66"/>
      <c r="E166" s="66"/>
      <c r="F166" s="66"/>
      <c r="G166" s="66"/>
      <c r="H166" s="66"/>
      <c r="I166" s="66"/>
      <c r="J166" s="66"/>
    </row>
    <row r="167" spans="1:10" ht="11.1" customHeight="1">
      <c r="A167" s="71"/>
      <c r="B167" s="66"/>
      <c r="C167" s="66"/>
      <c r="D167" s="66"/>
      <c r="E167" s="66"/>
      <c r="F167" s="66"/>
      <c r="G167" s="66"/>
      <c r="H167" s="66"/>
      <c r="I167" s="66"/>
      <c r="J167" s="66"/>
    </row>
    <row r="168" spans="1:10" ht="11.1" customHeight="1">
      <c r="A168" s="71"/>
      <c r="B168" s="66"/>
      <c r="C168" s="66"/>
      <c r="D168" s="66"/>
      <c r="E168" s="66"/>
      <c r="F168" s="66"/>
      <c r="G168" s="66"/>
      <c r="H168" s="66"/>
      <c r="I168" s="66"/>
      <c r="J168" s="66"/>
    </row>
    <row r="169" spans="1:10" ht="11.1" customHeight="1">
      <c r="A169" s="71"/>
      <c r="B169" s="66"/>
      <c r="C169" s="66"/>
      <c r="D169" s="66"/>
      <c r="E169" s="66"/>
      <c r="F169" s="66"/>
      <c r="G169" s="66"/>
      <c r="H169" s="66"/>
      <c r="I169" s="66"/>
      <c r="J169" s="66"/>
    </row>
    <row r="170" spans="1:10" ht="11.1" customHeight="1">
      <c r="A170" s="71"/>
      <c r="B170" s="66"/>
      <c r="C170" s="66"/>
      <c r="D170" s="66"/>
      <c r="E170" s="66"/>
      <c r="F170" s="66"/>
      <c r="G170" s="66"/>
      <c r="H170" s="66"/>
      <c r="I170" s="66"/>
      <c r="J170" s="66"/>
    </row>
    <row r="171" spans="1:10" ht="11.1" customHeight="1">
      <c r="A171" s="71"/>
      <c r="B171" s="66"/>
      <c r="C171" s="66"/>
      <c r="D171" s="66"/>
      <c r="E171" s="66"/>
      <c r="F171" s="66"/>
      <c r="G171" s="66"/>
      <c r="H171" s="66"/>
      <c r="I171" s="66"/>
      <c r="J171" s="66"/>
    </row>
    <row r="172" spans="1:10" ht="11.1" customHeight="1">
      <c r="A172" s="71"/>
      <c r="B172" s="66"/>
      <c r="C172" s="66"/>
      <c r="D172" s="66"/>
      <c r="E172" s="66"/>
      <c r="F172" s="66"/>
      <c r="G172" s="66"/>
      <c r="H172" s="66"/>
      <c r="I172" s="66"/>
      <c r="J172" s="66"/>
    </row>
    <row r="173" spans="1:10" ht="11.1" customHeight="1">
      <c r="A173" s="71"/>
      <c r="B173" s="66"/>
      <c r="C173" s="66"/>
      <c r="D173" s="66"/>
      <c r="E173" s="66"/>
      <c r="F173" s="66"/>
      <c r="G173" s="66"/>
      <c r="H173" s="66"/>
      <c r="I173" s="66"/>
      <c r="J173" s="66"/>
    </row>
    <row r="174" spans="1:10" ht="11.1" customHeight="1">
      <c r="A174" s="71"/>
      <c r="B174" s="66"/>
      <c r="C174" s="66"/>
      <c r="D174" s="66"/>
      <c r="E174" s="66"/>
      <c r="F174" s="66"/>
      <c r="G174" s="66"/>
      <c r="H174" s="66"/>
      <c r="I174" s="66"/>
      <c r="J174" s="66"/>
    </row>
    <row r="175" spans="1:10" ht="11.1" customHeight="1">
      <c r="A175" s="71"/>
      <c r="B175" s="66"/>
      <c r="C175" s="66"/>
      <c r="D175" s="66"/>
      <c r="E175" s="66"/>
      <c r="F175" s="66"/>
      <c r="G175" s="66"/>
      <c r="H175" s="66"/>
      <c r="I175" s="66"/>
      <c r="J175" s="66"/>
    </row>
    <row r="176" spans="1:10" ht="11.1" customHeight="1">
      <c r="A176" s="71"/>
      <c r="B176" s="66"/>
      <c r="C176" s="66"/>
      <c r="D176" s="66"/>
      <c r="E176" s="66"/>
      <c r="F176" s="66"/>
      <c r="G176" s="66"/>
      <c r="H176" s="66"/>
      <c r="I176" s="66"/>
      <c r="J176" s="66"/>
    </row>
    <row r="177" spans="1:10" ht="11.1" customHeight="1">
      <c r="A177" s="71"/>
      <c r="B177" s="66"/>
      <c r="C177" s="66"/>
      <c r="D177" s="66"/>
      <c r="E177" s="66"/>
      <c r="F177" s="66"/>
      <c r="G177" s="66"/>
      <c r="H177" s="66"/>
      <c r="I177" s="66"/>
      <c r="J177" s="66"/>
    </row>
    <row r="178" spans="1:10" ht="11.1" customHeight="1">
      <c r="A178" s="71"/>
      <c r="B178" s="66"/>
      <c r="C178" s="66"/>
      <c r="D178" s="66"/>
      <c r="E178" s="66"/>
      <c r="F178" s="66"/>
      <c r="G178" s="66"/>
      <c r="H178" s="66"/>
      <c r="I178" s="66"/>
      <c r="J178" s="66"/>
    </row>
    <row r="179" spans="1:10" ht="11.1" customHeight="1">
      <c r="A179" s="71"/>
      <c r="B179" s="66"/>
      <c r="C179" s="66"/>
      <c r="D179" s="66"/>
      <c r="E179" s="66"/>
      <c r="F179" s="66"/>
      <c r="G179" s="66"/>
      <c r="H179" s="66"/>
      <c r="I179" s="66"/>
      <c r="J179" s="66"/>
    </row>
    <row r="180" spans="1:10" ht="11.1" customHeight="1">
      <c r="A180" s="71"/>
      <c r="B180" s="66"/>
      <c r="C180" s="66"/>
      <c r="D180" s="66"/>
      <c r="E180" s="66"/>
      <c r="F180" s="66"/>
      <c r="G180" s="66"/>
      <c r="H180" s="66"/>
      <c r="I180" s="66"/>
      <c r="J180" s="66"/>
    </row>
    <row r="181" spans="1:10" ht="11.1" customHeight="1">
      <c r="A181" s="71"/>
      <c r="B181" s="66"/>
      <c r="C181" s="66"/>
      <c r="D181" s="66"/>
      <c r="E181" s="66"/>
      <c r="F181" s="66"/>
      <c r="G181" s="66"/>
      <c r="H181" s="66"/>
      <c r="I181" s="66"/>
      <c r="J181" s="66"/>
    </row>
    <row r="182" spans="1:10" ht="11.1" customHeight="1">
      <c r="A182" s="71"/>
      <c r="B182" s="66"/>
      <c r="C182" s="66"/>
      <c r="D182" s="66"/>
      <c r="E182" s="66"/>
      <c r="F182" s="66"/>
      <c r="G182" s="66"/>
      <c r="H182" s="66"/>
      <c r="I182" s="66"/>
      <c r="J182" s="66"/>
    </row>
    <row r="183" spans="1:10" ht="11.1" customHeight="1">
      <c r="A183" s="71"/>
      <c r="B183" s="66"/>
      <c r="C183" s="66"/>
      <c r="D183" s="66"/>
      <c r="E183" s="66"/>
      <c r="F183" s="66"/>
      <c r="G183" s="66"/>
      <c r="H183" s="66"/>
      <c r="I183" s="66"/>
      <c r="J183" s="66"/>
    </row>
    <row r="184" spans="1:10" ht="11.1" customHeight="1">
      <c r="A184" s="71"/>
      <c r="B184" s="66"/>
      <c r="C184" s="66"/>
      <c r="D184" s="66"/>
      <c r="E184" s="66"/>
      <c r="F184" s="66"/>
      <c r="G184" s="66"/>
      <c r="H184" s="66"/>
      <c r="I184" s="66"/>
      <c r="J184" s="66"/>
    </row>
    <row r="185" spans="1:10" ht="11.1" customHeight="1">
      <c r="A185" s="71"/>
      <c r="B185" s="66"/>
      <c r="C185" s="66"/>
      <c r="D185" s="66"/>
      <c r="E185" s="66"/>
      <c r="F185" s="66"/>
      <c r="G185" s="66"/>
      <c r="H185" s="66"/>
      <c r="I185" s="66"/>
      <c r="J185" s="66"/>
    </row>
    <row r="186" spans="1:10" ht="11.1" customHeight="1">
      <c r="A186" s="71"/>
      <c r="B186" s="66"/>
      <c r="C186" s="66"/>
      <c r="D186" s="66"/>
      <c r="E186" s="66"/>
      <c r="F186" s="66"/>
      <c r="G186" s="66"/>
      <c r="H186" s="66"/>
      <c r="I186" s="66"/>
      <c r="J186" s="66"/>
    </row>
    <row r="187" spans="1:10" ht="11.1" customHeight="1">
      <c r="A187" s="71"/>
      <c r="B187" s="66"/>
      <c r="C187" s="66"/>
      <c r="D187" s="66"/>
      <c r="E187" s="66"/>
      <c r="F187" s="66"/>
      <c r="G187" s="66"/>
      <c r="H187" s="66"/>
      <c r="I187" s="66"/>
      <c r="J187" s="66"/>
    </row>
    <row r="188" spans="1:10" ht="11.1" customHeight="1">
      <c r="A188" s="71"/>
      <c r="B188" s="66"/>
      <c r="C188" s="66"/>
      <c r="D188" s="66"/>
      <c r="E188" s="66"/>
      <c r="F188" s="66"/>
      <c r="G188" s="66"/>
      <c r="H188" s="66"/>
      <c r="I188" s="66"/>
      <c r="J188" s="66"/>
    </row>
    <row r="189" spans="1:10" ht="11.1" customHeight="1">
      <c r="A189" s="71"/>
      <c r="B189" s="66"/>
      <c r="C189" s="66"/>
      <c r="D189" s="66"/>
      <c r="E189" s="66"/>
      <c r="F189" s="66"/>
      <c r="G189" s="66"/>
      <c r="H189" s="66"/>
      <c r="I189" s="66"/>
      <c r="J189" s="66"/>
    </row>
    <row r="190" spans="1:10" ht="11.1" customHeight="1">
      <c r="A190" s="71"/>
      <c r="B190" s="66"/>
      <c r="C190" s="66"/>
      <c r="D190" s="66"/>
      <c r="E190" s="66"/>
      <c r="F190" s="66"/>
      <c r="G190" s="66"/>
      <c r="H190" s="66"/>
      <c r="I190" s="66"/>
      <c r="J190" s="66"/>
    </row>
    <row r="191" spans="1:10" ht="11.1" customHeight="1">
      <c r="A191" s="71"/>
      <c r="B191" s="66"/>
      <c r="C191" s="66"/>
      <c r="D191" s="66"/>
      <c r="E191" s="66"/>
      <c r="F191" s="66"/>
      <c r="G191" s="66"/>
      <c r="H191" s="66"/>
      <c r="I191" s="66"/>
      <c r="J191" s="66"/>
    </row>
    <row r="192" spans="1:10" ht="11.1" customHeight="1">
      <c r="A192" s="71"/>
      <c r="B192" s="66"/>
      <c r="C192" s="66"/>
      <c r="D192" s="66"/>
      <c r="E192" s="66"/>
      <c r="F192" s="66"/>
      <c r="G192" s="66"/>
      <c r="H192" s="66"/>
      <c r="I192" s="66"/>
      <c r="J192" s="66"/>
    </row>
    <row r="193" spans="1:10" ht="11.1" customHeight="1">
      <c r="A193" s="71"/>
      <c r="B193" s="66"/>
      <c r="C193" s="66"/>
      <c r="D193" s="66"/>
      <c r="E193" s="66"/>
      <c r="F193" s="66"/>
      <c r="G193" s="66"/>
      <c r="H193" s="66"/>
      <c r="I193" s="66"/>
      <c r="J193" s="66"/>
    </row>
    <row r="194" spans="1:10" ht="11.1" customHeight="1">
      <c r="A194" s="71"/>
      <c r="B194" s="66"/>
      <c r="C194" s="66"/>
      <c r="D194" s="66"/>
      <c r="E194" s="66"/>
      <c r="F194" s="66"/>
      <c r="G194" s="66"/>
      <c r="H194" s="66"/>
      <c r="I194" s="66"/>
      <c r="J194" s="66"/>
    </row>
    <row r="195" spans="1:10" ht="11.1" customHeight="1">
      <c r="A195" s="71"/>
      <c r="B195" s="66"/>
      <c r="C195" s="66"/>
      <c r="D195" s="66"/>
      <c r="E195" s="66"/>
      <c r="F195" s="66"/>
      <c r="G195" s="66"/>
      <c r="H195" s="66"/>
      <c r="I195" s="66"/>
      <c r="J195" s="66"/>
    </row>
    <row r="196" spans="1:10" ht="11.1" customHeight="1">
      <c r="A196" s="71"/>
      <c r="B196" s="66"/>
      <c r="C196" s="66"/>
      <c r="D196" s="66"/>
      <c r="E196" s="66"/>
      <c r="F196" s="66"/>
      <c r="G196" s="66"/>
      <c r="H196" s="66"/>
      <c r="I196" s="66"/>
      <c r="J196" s="66"/>
    </row>
    <row r="197" spans="1:10" ht="11.1" customHeight="1">
      <c r="A197" s="71"/>
      <c r="B197" s="66"/>
      <c r="C197" s="66"/>
      <c r="D197" s="66"/>
      <c r="E197" s="66"/>
      <c r="F197" s="66"/>
      <c r="G197" s="66"/>
      <c r="H197" s="66"/>
      <c r="I197" s="66"/>
      <c r="J197" s="66"/>
    </row>
    <row r="198" spans="1:10" ht="11.1" customHeight="1">
      <c r="A198" s="71"/>
      <c r="B198" s="66"/>
      <c r="C198" s="66"/>
      <c r="D198" s="66"/>
      <c r="E198" s="66"/>
      <c r="F198" s="66"/>
      <c r="G198" s="66"/>
      <c r="H198" s="66"/>
      <c r="I198" s="66"/>
      <c r="J198" s="66"/>
    </row>
    <row r="199" spans="1:10" ht="11.1" customHeight="1">
      <c r="A199" s="71"/>
      <c r="B199" s="66"/>
      <c r="C199" s="66"/>
      <c r="D199" s="66"/>
      <c r="E199" s="66"/>
      <c r="F199" s="66"/>
      <c r="G199" s="66"/>
      <c r="H199" s="66"/>
      <c r="I199" s="66"/>
      <c r="J199" s="66"/>
    </row>
    <row r="200" spans="1:10" ht="11.1" customHeight="1">
      <c r="A200" s="71"/>
      <c r="B200" s="66"/>
      <c r="C200" s="66"/>
      <c r="D200" s="66"/>
      <c r="E200" s="66"/>
      <c r="F200" s="66"/>
      <c r="G200" s="66"/>
      <c r="H200" s="66"/>
      <c r="I200" s="66"/>
      <c r="J200" s="66"/>
    </row>
    <row r="201" spans="1:10" ht="11.1" customHeight="1">
      <c r="A201" s="71"/>
      <c r="B201" s="66"/>
      <c r="C201" s="66"/>
      <c r="D201" s="66"/>
      <c r="E201" s="66"/>
      <c r="F201" s="66"/>
      <c r="G201" s="66"/>
      <c r="H201" s="66"/>
      <c r="I201" s="66"/>
      <c r="J201" s="66"/>
    </row>
    <row r="202" spans="1:10" ht="11.1" customHeight="1">
      <c r="A202" s="71"/>
      <c r="B202" s="66"/>
      <c r="C202" s="66"/>
      <c r="D202" s="66"/>
      <c r="E202" s="66"/>
      <c r="F202" s="66"/>
      <c r="G202" s="66"/>
      <c r="H202" s="66"/>
      <c r="I202" s="66"/>
      <c r="J202" s="66"/>
    </row>
    <row r="203" spans="1:10" ht="11.1" customHeight="1">
      <c r="A203" s="71"/>
      <c r="B203" s="66"/>
      <c r="C203" s="66"/>
      <c r="D203" s="66"/>
      <c r="E203" s="66"/>
      <c r="F203" s="66"/>
      <c r="G203" s="66"/>
      <c r="H203" s="66"/>
      <c r="I203" s="66"/>
      <c r="J203" s="66"/>
    </row>
    <row r="204" spans="1:10" ht="11.1" customHeight="1">
      <c r="A204" s="71"/>
      <c r="B204" s="66"/>
      <c r="C204" s="66"/>
      <c r="D204" s="66"/>
      <c r="E204" s="66"/>
      <c r="F204" s="66"/>
      <c r="G204" s="66"/>
      <c r="H204" s="66"/>
      <c r="I204" s="66"/>
      <c r="J204" s="66"/>
    </row>
    <row r="205" spans="1:10" ht="11.1" customHeight="1">
      <c r="A205" s="71"/>
      <c r="B205" s="66"/>
      <c r="C205" s="66"/>
      <c r="D205" s="66"/>
      <c r="E205" s="66"/>
      <c r="F205" s="66"/>
      <c r="G205" s="66"/>
      <c r="H205" s="66"/>
      <c r="I205" s="66"/>
      <c r="J205" s="66"/>
    </row>
    <row r="206" spans="1:10" ht="11.1" customHeight="1">
      <c r="A206" s="71"/>
      <c r="B206" s="66"/>
      <c r="C206" s="66"/>
      <c r="D206" s="66"/>
      <c r="E206" s="66"/>
      <c r="F206" s="66"/>
      <c r="G206" s="66"/>
      <c r="H206" s="66"/>
      <c r="I206" s="66"/>
      <c r="J206" s="66"/>
    </row>
    <row r="207" spans="1:10" ht="11.1" customHeight="1">
      <c r="A207" s="71"/>
      <c r="B207" s="66"/>
      <c r="C207" s="66"/>
      <c r="D207" s="66"/>
      <c r="E207" s="66"/>
      <c r="F207" s="66"/>
      <c r="G207" s="66"/>
      <c r="H207" s="66"/>
      <c r="I207" s="66"/>
      <c r="J207" s="66"/>
    </row>
    <row r="208" spans="1:10" ht="11.1" customHeight="1">
      <c r="A208" s="71"/>
      <c r="B208" s="66"/>
      <c r="C208" s="66"/>
      <c r="D208" s="66"/>
      <c r="E208" s="66"/>
      <c r="F208" s="66"/>
      <c r="G208" s="66"/>
      <c r="H208" s="66"/>
      <c r="I208" s="66"/>
      <c r="J208" s="66"/>
    </row>
    <row r="209" spans="1:10" ht="11.1" customHeight="1">
      <c r="A209" s="71"/>
      <c r="B209" s="66"/>
      <c r="C209" s="66"/>
      <c r="D209" s="66"/>
      <c r="E209" s="66"/>
      <c r="F209" s="66"/>
      <c r="G209" s="66"/>
      <c r="H209" s="66"/>
      <c r="I209" s="66"/>
      <c r="J209" s="66"/>
    </row>
    <row r="210" spans="1:10" ht="11.1" customHeight="1">
      <c r="A210" s="71"/>
      <c r="B210" s="66"/>
      <c r="C210" s="66"/>
      <c r="D210" s="66"/>
      <c r="E210" s="66"/>
      <c r="F210" s="66"/>
      <c r="G210" s="66"/>
      <c r="H210" s="66"/>
      <c r="I210" s="66"/>
      <c r="J210" s="66"/>
    </row>
    <row r="211" spans="1:10" ht="11.1" customHeight="1">
      <c r="A211" s="71"/>
      <c r="B211" s="66"/>
      <c r="C211" s="66"/>
      <c r="D211" s="66"/>
      <c r="E211" s="66"/>
      <c r="F211" s="66"/>
      <c r="G211" s="66"/>
      <c r="H211" s="66"/>
      <c r="I211" s="66"/>
      <c r="J211" s="66"/>
    </row>
    <row r="212" spans="1:10" ht="11.1" customHeight="1">
      <c r="A212" s="71"/>
      <c r="B212" s="66"/>
      <c r="C212" s="66"/>
      <c r="D212" s="66"/>
      <c r="E212" s="66"/>
      <c r="F212" s="66"/>
      <c r="G212" s="66"/>
      <c r="H212" s="66"/>
      <c r="I212" s="66"/>
      <c r="J212" s="66"/>
    </row>
    <row r="213" spans="1:10" ht="11.1" customHeight="1">
      <c r="A213" s="71"/>
      <c r="B213" s="66"/>
      <c r="C213" s="66"/>
      <c r="D213" s="66"/>
      <c r="E213" s="66"/>
      <c r="F213" s="66"/>
      <c r="G213" s="66"/>
      <c r="H213" s="66"/>
      <c r="I213" s="66"/>
      <c r="J213" s="66"/>
    </row>
    <row r="214" spans="1:10" ht="11.1" customHeight="1">
      <c r="A214" s="71"/>
      <c r="B214" s="66"/>
      <c r="C214" s="66"/>
      <c r="D214" s="66"/>
      <c r="E214" s="66"/>
      <c r="F214" s="66"/>
      <c r="G214" s="66"/>
      <c r="H214" s="66"/>
      <c r="I214" s="66"/>
      <c r="J214" s="66"/>
    </row>
    <row r="215" spans="1:10" ht="11.1" customHeight="1">
      <c r="A215" s="71"/>
      <c r="B215" s="66"/>
      <c r="C215" s="66"/>
      <c r="D215" s="66"/>
      <c r="E215" s="66"/>
      <c r="F215" s="66"/>
      <c r="G215" s="66"/>
      <c r="H215" s="66"/>
      <c r="I215" s="66"/>
      <c r="J215" s="66"/>
    </row>
    <row r="216" spans="1:10" ht="11.1" customHeight="1">
      <c r="A216" s="71"/>
      <c r="B216" s="66"/>
      <c r="C216" s="66"/>
      <c r="D216" s="66"/>
      <c r="E216" s="66"/>
      <c r="F216" s="66"/>
      <c r="G216" s="66"/>
      <c r="H216" s="66"/>
      <c r="I216" s="66"/>
      <c r="J216" s="66"/>
    </row>
    <row r="217" spans="1:10" ht="11.1" customHeight="1">
      <c r="A217" s="71"/>
      <c r="B217" s="66"/>
      <c r="C217" s="66"/>
      <c r="D217" s="66"/>
      <c r="E217" s="66"/>
      <c r="F217" s="66"/>
      <c r="G217" s="66"/>
      <c r="H217" s="66"/>
      <c r="I217" s="66"/>
      <c r="J217" s="66"/>
    </row>
    <row r="218" spans="1:10" ht="11.1" customHeight="1">
      <c r="A218" s="71"/>
      <c r="B218" s="66"/>
      <c r="C218" s="66"/>
      <c r="D218" s="66"/>
      <c r="E218" s="66"/>
      <c r="F218" s="66"/>
      <c r="G218" s="66"/>
      <c r="H218" s="66"/>
      <c r="I218" s="66"/>
      <c r="J218" s="66"/>
    </row>
    <row r="219" spans="1:10" ht="11.1" customHeight="1">
      <c r="A219" s="71"/>
      <c r="B219" s="66"/>
      <c r="C219" s="66"/>
      <c r="D219" s="66"/>
      <c r="E219" s="66"/>
      <c r="F219" s="66"/>
      <c r="G219" s="66"/>
      <c r="H219" s="66"/>
      <c r="I219" s="66"/>
      <c r="J219" s="66"/>
    </row>
    <row r="220" spans="1:10" ht="11.1" customHeight="1">
      <c r="A220" s="71"/>
      <c r="B220" s="66"/>
      <c r="C220" s="66"/>
      <c r="D220" s="66"/>
      <c r="E220" s="66"/>
      <c r="F220" s="66"/>
      <c r="G220" s="66"/>
      <c r="H220" s="66"/>
      <c r="I220" s="66"/>
      <c r="J220" s="66"/>
    </row>
    <row r="221" spans="1:10" ht="11.1" customHeight="1">
      <c r="A221" s="71"/>
      <c r="B221" s="66"/>
      <c r="C221" s="66"/>
      <c r="D221" s="66"/>
      <c r="E221" s="66"/>
      <c r="F221" s="66"/>
      <c r="G221" s="66"/>
      <c r="H221" s="66"/>
      <c r="I221" s="66"/>
      <c r="J221" s="66"/>
    </row>
    <row r="222" spans="1:10" ht="11.1" customHeight="1">
      <c r="A222" s="71"/>
      <c r="B222" s="66"/>
      <c r="C222" s="66"/>
      <c r="D222" s="66"/>
      <c r="E222" s="66"/>
      <c r="F222" s="66"/>
      <c r="G222" s="66"/>
      <c r="H222" s="66"/>
      <c r="I222" s="66"/>
      <c r="J222" s="66"/>
    </row>
    <row r="223" spans="1:10" ht="11.1" customHeight="1">
      <c r="A223" s="71"/>
      <c r="B223" s="66"/>
      <c r="C223" s="66"/>
      <c r="D223" s="66"/>
      <c r="E223" s="66"/>
      <c r="F223" s="66"/>
      <c r="G223" s="66"/>
      <c r="H223" s="66"/>
      <c r="I223" s="66"/>
      <c r="J223" s="66"/>
    </row>
    <row r="224" spans="1:10" ht="11.1" customHeight="1">
      <c r="A224" s="71"/>
      <c r="B224" s="66"/>
      <c r="C224" s="66"/>
      <c r="D224" s="66"/>
      <c r="E224" s="66"/>
      <c r="F224" s="66"/>
      <c r="G224" s="66"/>
      <c r="H224" s="66"/>
      <c r="I224" s="66"/>
      <c r="J224" s="66"/>
    </row>
    <row r="225" spans="1:10" ht="11.1" customHeight="1">
      <c r="A225" s="71"/>
      <c r="B225" s="66"/>
      <c r="C225" s="66"/>
      <c r="D225" s="66"/>
      <c r="E225" s="66"/>
      <c r="F225" s="66"/>
      <c r="G225" s="66"/>
      <c r="H225" s="66"/>
      <c r="I225" s="66"/>
      <c r="J225" s="66"/>
    </row>
    <row r="226" spans="1:10" ht="11.1" customHeight="1">
      <c r="A226" s="71"/>
      <c r="B226" s="66"/>
      <c r="C226" s="66"/>
      <c r="D226" s="66"/>
      <c r="E226" s="66"/>
      <c r="F226" s="66"/>
      <c r="G226" s="66"/>
      <c r="H226" s="66"/>
      <c r="I226" s="66"/>
      <c r="J226" s="66"/>
    </row>
    <row r="227" spans="1:10" ht="11.1" customHeight="1">
      <c r="A227" s="71"/>
      <c r="B227" s="66"/>
      <c r="C227" s="66"/>
      <c r="D227" s="66"/>
      <c r="E227" s="66"/>
      <c r="F227" s="66"/>
      <c r="G227" s="66"/>
      <c r="H227" s="66"/>
      <c r="I227" s="66"/>
      <c r="J227" s="66"/>
    </row>
    <row r="228" spans="1:10" ht="11.1" customHeight="1">
      <c r="A228" s="71"/>
      <c r="B228" s="66"/>
      <c r="C228" s="66"/>
      <c r="D228" s="66"/>
      <c r="E228" s="66"/>
      <c r="F228" s="66"/>
      <c r="G228" s="66"/>
      <c r="H228" s="66"/>
      <c r="I228" s="66"/>
      <c r="J228" s="66"/>
    </row>
    <row r="229" spans="1:10" ht="11.1" customHeight="1">
      <c r="A229" s="71"/>
      <c r="B229" s="66"/>
      <c r="C229" s="66"/>
      <c r="D229" s="66"/>
      <c r="E229" s="66"/>
      <c r="F229" s="66"/>
      <c r="G229" s="66"/>
      <c r="H229" s="66"/>
      <c r="I229" s="66"/>
      <c r="J229" s="66"/>
    </row>
    <row r="230" spans="1:10" ht="11.1" customHeight="1">
      <c r="A230" s="71"/>
      <c r="B230" s="66"/>
      <c r="C230" s="66"/>
      <c r="D230" s="66"/>
      <c r="E230" s="66"/>
      <c r="F230" s="66"/>
      <c r="G230" s="66"/>
      <c r="H230" s="66"/>
      <c r="I230" s="66"/>
      <c r="J230" s="66"/>
    </row>
    <row r="231" spans="1:10" ht="11.1" customHeight="1">
      <c r="A231" s="71"/>
      <c r="B231" s="66"/>
      <c r="C231" s="66"/>
      <c r="D231" s="66"/>
      <c r="E231" s="66"/>
      <c r="F231" s="66"/>
      <c r="G231" s="66"/>
      <c r="H231" s="66"/>
      <c r="I231" s="66"/>
      <c r="J231" s="66"/>
    </row>
    <row r="232" spans="1:10" ht="11.1" customHeight="1">
      <c r="A232" s="71"/>
      <c r="B232" s="66"/>
      <c r="C232" s="66"/>
      <c r="D232" s="66"/>
      <c r="E232" s="66"/>
      <c r="F232" s="66"/>
      <c r="G232" s="66"/>
      <c r="H232" s="66"/>
      <c r="I232" s="66"/>
      <c r="J232" s="66"/>
    </row>
    <row r="233" spans="1:10" ht="11.1" customHeight="1">
      <c r="A233" s="71"/>
      <c r="B233" s="66"/>
      <c r="C233" s="66"/>
      <c r="D233" s="66"/>
      <c r="E233" s="66"/>
      <c r="F233" s="66"/>
      <c r="G233" s="66"/>
      <c r="H233" s="66"/>
      <c r="I233" s="66"/>
      <c r="J233" s="66"/>
    </row>
    <row r="234" spans="1:10" ht="11.1" customHeight="1">
      <c r="A234" s="71"/>
      <c r="B234" s="66"/>
      <c r="C234" s="66"/>
      <c r="D234" s="66"/>
      <c r="E234" s="66"/>
      <c r="F234" s="66"/>
      <c r="G234" s="66"/>
      <c r="H234" s="66"/>
      <c r="I234" s="66"/>
      <c r="J234" s="66"/>
    </row>
    <row r="235" spans="1:10" ht="11.1" customHeight="1">
      <c r="A235" s="71"/>
      <c r="B235" s="66"/>
      <c r="C235" s="66"/>
      <c r="D235" s="66"/>
      <c r="E235" s="66"/>
      <c r="F235" s="66"/>
      <c r="G235" s="66"/>
      <c r="H235" s="66"/>
      <c r="I235" s="66"/>
      <c r="J235" s="66"/>
    </row>
    <row r="236" spans="1:10" ht="11.1" customHeight="1">
      <c r="A236" s="71"/>
      <c r="B236" s="66"/>
      <c r="C236" s="66"/>
      <c r="D236" s="66"/>
      <c r="E236" s="66"/>
      <c r="F236" s="66"/>
      <c r="G236" s="66"/>
      <c r="H236" s="66"/>
      <c r="I236" s="66"/>
      <c r="J236" s="66"/>
    </row>
    <row r="237" spans="1:10" ht="11.1" customHeight="1">
      <c r="A237" s="71"/>
      <c r="B237" s="66"/>
      <c r="C237" s="66"/>
      <c r="D237" s="66"/>
      <c r="E237" s="66"/>
      <c r="F237" s="66"/>
      <c r="G237" s="66"/>
      <c r="H237" s="66"/>
      <c r="I237" s="66"/>
      <c r="J237" s="66"/>
    </row>
    <row r="238" spans="1:10" ht="11.1" customHeight="1">
      <c r="A238" s="71"/>
      <c r="B238" s="66"/>
      <c r="C238" s="66"/>
      <c r="D238" s="66"/>
      <c r="E238" s="66"/>
      <c r="F238" s="66"/>
      <c r="G238" s="66"/>
      <c r="H238" s="66"/>
      <c r="I238" s="66"/>
      <c r="J238" s="66"/>
    </row>
    <row r="239" spans="1:10" ht="11.1" customHeight="1">
      <c r="A239" s="71"/>
      <c r="B239" s="66"/>
      <c r="C239" s="66"/>
      <c r="D239" s="66"/>
      <c r="E239" s="66"/>
      <c r="F239" s="66"/>
      <c r="G239" s="66"/>
      <c r="H239" s="66"/>
      <c r="I239" s="66"/>
      <c r="J239" s="66"/>
    </row>
    <row r="240" spans="1:10" ht="11.1" customHeight="1">
      <c r="A240" s="71"/>
      <c r="B240" s="66"/>
      <c r="C240" s="66"/>
      <c r="D240" s="66"/>
      <c r="E240" s="66"/>
      <c r="F240" s="66"/>
      <c r="G240" s="66"/>
      <c r="H240" s="66"/>
      <c r="I240" s="66"/>
      <c r="J240" s="66"/>
    </row>
    <row r="241" spans="1:10" ht="11.1" customHeight="1">
      <c r="A241" s="71"/>
      <c r="B241" s="66"/>
      <c r="C241" s="66"/>
      <c r="D241" s="66"/>
      <c r="E241" s="66"/>
      <c r="F241" s="66"/>
      <c r="G241" s="66"/>
      <c r="H241" s="66"/>
      <c r="I241" s="66"/>
      <c r="J241" s="66"/>
    </row>
    <row r="242" spans="1:10" ht="11.1" customHeight="1">
      <c r="A242" s="71"/>
      <c r="B242" s="66"/>
      <c r="C242" s="66"/>
      <c r="D242" s="66"/>
      <c r="E242" s="66"/>
      <c r="F242" s="66"/>
      <c r="G242" s="66"/>
      <c r="H242" s="66"/>
      <c r="I242" s="66"/>
      <c r="J242" s="66"/>
    </row>
    <row r="243" spans="1:10" ht="11.1" customHeight="1">
      <c r="A243" s="71"/>
      <c r="B243" s="66"/>
      <c r="C243" s="66"/>
      <c r="D243" s="66"/>
      <c r="E243" s="66"/>
      <c r="F243" s="66"/>
      <c r="G243" s="66"/>
      <c r="H243" s="66"/>
      <c r="I243" s="66"/>
      <c r="J243" s="66"/>
    </row>
    <row r="244" spans="1:10" ht="11.1" customHeight="1">
      <c r="A244" s="71"/>
      <c r="B244" s="66"/>
      <c r="C244" s="66"/>
      <c r="D244" s="66"/>
      <c r="E244" s="66"/>
      <c r="F244" s="66"/>
      <c r="G244" s="66"/>
      <c r="H244" s="66"/>
      <c r="I244" s="66"/>
      <c r="J244" s="66"/>
    </row>
    <row r="245" spans="1:10" ht="11.1" customHeight="1">
      <c r="A245" s="71"/>
      <c r="B245" s="66"/>
      <c r="C245" s="66"/>
      <c r="D245" s="66"/>
      <c r="E245" s="66"/>
      <c r="F245" s="66"/>
      <c r="G245" s="66"/>
      <c r="H245" s="66"/>
      <c r="I245" s="66"/>
      <c r="J245" s="66"/>
    </row>
    <row r="246" spans="1:10" ht="11.1" customHeight="1">
      <c r="A246" s="71"/>
      <c r="B246" s="66"/>
      <c r="C246" s="66"/>
      <c r="D246" s="66"/>
      <c r="E246" s="66"/>
      <c r="F246" s="66"/>
      <c r="G246" s="66"/>
      <c r="H246" s="66"/>
      <c r="I246" s="66"/>
      <c r="J246" s="66"/>
    </row>
    <row r="247" spans="1:10" ht="11.1" customHeight="1">
      <c r="A247" s="71"/>
      <c r="B247" s="66"/>
      <c r="C247" s="66"/>
      <c r="D247" s="66"/>
      <c r="E247" s="66"/>
      <c r="F247" s="66"/>
      <c r="G247" s="66"/>
      <c r="H247" s="66"/>
      <c r="I247" s="66"/>
      <c r="J247" s="66"/>
    </row>
    <row r="248" spans="1:10" ht="11.1" customHeight="1">
      <c r="A248" s="71"/>
      <c r="B248" s="66"/>
      <c r="C248" s="66"/>
      <c r="D248" s="66"/>
      <c r="E248" s="66"/>
      <c r="F248" s="66"/>
      <c r="G248" s="66"/>
      <c r="H248" s="66"/>
      <c r="I248" s="66"/>
      <c r="J248" s="66"/>
    </row>
    <row r="249" spans="1:10" ht="11.1" customHeight="1">
      <c r="A249" s="71"/>
      <c r="B249" s="66"/>
      <c r="C249" s="66"/>
      <c r="D249" s="66"/>
      <c r="E249" s="66"/>
      <c r="F249" s="66"/>
      <c r="G249" s="66"/>
      <c r="H249" s="66"/>
      <c r="I249" s="66"/>
      <c r="J249" s="66"/>
    </row>
    <row r="250" spans="1:10" ht="11.1" customHeight="1">
      <c r="A250" s="71"/>
      <c r="B250" s="66"/>
      <c r="C250" s="66"/>
      <c r="D250" s="66"/>
      <c r="E250" s="66"/>
      <c r="F250" s="66"/>
      <c r="G250" s="66"/>
      <c r="H250" s="66"/>
      <c r="I250" s="66"/>
      <c r="J250" s="66"/>
    </row>
    <row r="251" spans="1:10" ht="11.1" customHeight="1">
      <c r="A251" s="71"/>
      <c r="B251" s="66"/>
      <c r="C251" s="66"/>
      <c r="D251" s="66"/>
      <c r="E251" s="66"/>
      <c r="F251" s="66"/>
      <c r="G251" s="66"/>
      <c r="H251" s="66"/>
      <c r="I251" s="66"/>
      <c r="J251" s="66"/>
    </row>
    <row r="252" spans="1:10" ht="11.1" customHeight="1">
      <c r="A252" s="71"/>
      <c r="B252" s="66"/>
      <c r="C252" s="66"/>
      <c r="D252" s="66"/>
      <c r="E252" s="66"/>
      <c r="F252" s="66"/>
      <c r="G252" s="66"/>
      <c r="H252" s="66"/>
      <c r="I252" s="66"/>
      <c r="J252" s="66"/>
    </row>
    <row r="253" spans="1:10" ht="11.1" customHeight="1">
      <c r="A253" s="71"/>
      <c r="B253" s="66"/>
      <c r="C253" s="66"/>
      <c r="D253" s="66"/>
      <c r="E253" s="66"/>
      <c r="F253" s="66"/>
      <c r="G253" s="66"/>
      <c r="H253" s="66"/>
      <c r="I253" s="66"/>
      <c r="J253" s="66"/>
    </row>
    <row r="254" spans="1:10" ht="11.1" customHeight="1">
      <c r="A254" s="71"/>
      <c r="B254" s="66"/>
      <c r="C254" s="66"/>
      <c r="D254" s="66"/>
      <c r="E254" s="66"/>
      <c r="F254" s="66"/>
      <c r="G254" s="66"/>
      <c r="H254" s="66"/>
      <c r="I254" s="66"/>
      <c r="J254" s="66"/>
    </row>
    <row r="255" spans="1:10" ht="11.1" customHeight="1">
      <c r="A255" s="71"/>
      <c r="B255" s="66"/>
      <c r="C255" s="66"/>
      <c r="D255" s="66"/>
      <c r="E255" s="66"/>
      <c r="F255" s="66"/>
      <c r="G255" s="66"/>
      <c r="H255" s="66"/>
      <c r="I255" s="66"/>
      <c r="J255" s="66"/>
    </row>
    <row r="256" spans="1:10" ht="11.1" customHeight="1">
      <c r="A256" s="71"/>
      <c r="B256" s="66"/>
      <c r="C256" s="66"/>
      <c r="D256" s="66"/>
      <c r="E256" s="66"/>
      <c r="F256" s="66"/>
      <c r="G256" s="66"/>
      <c r="H256" s="66"/>
      <c r="I256" s="66"/>
      <c r="J256" s="66"/>
    </row>
    <row r="257" spans="1:10" ht="11.1" customHeight="1">
      <c r="A257" s="71"/>
      <c r="B257" s="66"/>
      <c r="C257" s="66"/>
      <c r="D257" s="66"/>
      <c r="E257" s="66"/>
      <c r="F257" s="66"/>
      <c r="G257" s="66"/>
      <c r="H257" s="66"/>
      <c r="I257" s="66"/>
      <c r="J257" s="66"/>
    </row>
    <row r="258" spans="1:10" ht="11.1" customHeight="1">
      <c r="A258" s="71"/>
      <c r="B258" s="66"/>
      <c r="C258" s="66"/>
      <c r="D258" s="66"/>
      <c r="E258" s="66"/>
      <c r="F258" s="66"/>
      <c r="G258" s="66"/>
      <c r="H258" s="66"/>
      <c r="I258" s="66"/>
      <c r="J258" s="66"/>
    </row>
    <row r="259" spans="1:10" ht="11.1" customHeight="1">
      <c r="A259" s="71"/>
      <c r="B259" s="66"/>
      <c r="C259" s="66"/>
      <c r="D259" s="66"/>
      <c r="E259" s="66"/>
      <c r="F259" s="66"/>
      <c r="G259" s="66"/>
      <c r="H259" s="66"/>
      <c r="I259" s="66"/>
      <c r="J259" s="66"/>
    </row>
    <row r="260" spans="1:10" ht="11.1" customHeight="1">
      <c r="A260" s="71"/>
      <c r="B260" s="66"/>
      <c r="C260" s="66"/>
      <c r="D260" s="66"/>
      <c r="E260" s="66"/>
      <c r="F260" s="66"/>
      <c r="G260" s="66"/>
      <c r="H260" s="66"/>
      <c r="I260" s="66"/>
      <c r="J260" s="66"/>
    </row>
    <row r="261" spans="1:10" ht="11.1" customHeight="1">
      <c r="A261" s="71"/>
      <c r="B261" s="66"/>
      <c r="C261" s="66"/>
      <c r="D261" s="66"/>
      <c r="E261" s="66"/>
      <c r="F261" s="66"/>
      <c r="G261" s="66"/>
      <c r="H261" s="66"/>
      <c r="I261" s="66"/>
      <c r="J261" s="66"/>
    </row>
    <row r="262" spans="1:10" ht="11.1" customHeight="1">
      <c r="A262" s="71"/>
      <c r="B262" s="66"/>
      <c r="C262" s="66"/>
      <c r="D262" s="66"/>
      <c r="E262" s="66"/>
      <c r="F262" s="66"/>
      <c r="G262" s="66"/>
      <c r="H262" s="66"/>
      <c r="I262" s="66"/>
      <c r="J262" s="66"/>
    </row>
    <row r="263" spans="1:10" ht="11.1" customHeight="1">
      <c r="A263" s="71"/>
      <c r="B263" s="66"/>
      <c r="C263" s="66"/>
      <c r="D263" s="66"/>
      <c r="E263" s="66"/>
      <c r="F263" s="66"/>
      <c r="G263" s="66"/>
      <c r="H263" s="66"/>
      <c r="I263" s="66"/>
      <c r="J263" s="66"/>
    </row>
    <row r="264" spans="1:10" ht="11.1" customHeight="1">
      <c r="A264" s="71"/>
      <c r="B264" s="66"/>
      <c r="C264" s="66"/>
      <c r="D264" s="66"/>
      <c r="E264" s="66"/>
      <c r="F264" s="66"/>
      <c r="G264" s="66"/>
      <c r="H264" s="66"/>
      <c r="I264" s="66"/>
      <c r="J264" s="66"/>
    </row>
    <row r="265" spans="1:10" ht="11.1" customHeight="1">
      <c r="A265" s="71"/>
      <c r="B265" s="66"/>
      <c r="C265" s="66"/>
      <c r="D265" s="66"/>
      <c r="E265" s="66"/>
      <c r="F265" s="66"/>
      <c r="G265" s="66"/>
      <c r="H265" s="66"/>
      <c r="I265" s="66"/>
      <c r="J265" s="66"/>
    </row>
    <row r="266" spans="1:10" ht="11.1" customHeight="1">
      <c r="A266" s="71"/>
      <c r="B266" s="66"/>
      <c r="C266" s="66"/>
      <c r="D266" s="66"/>
      <c r="E266" s="66"/>
      <c r="F266" s="66"/>
      <c r="G266" s="66"/>
      <c r="H266" s="66"/>
      <c r="I266" s="66"/>
      <c r="J266" s="66"/>
    </row>
    <row r="267" spans="1:10" ht="11.1" customHeight="1">
      <c r="A267" s="71"/>
      <c r="B267" s="66"/>
      <c r="C267" s="66"/>
      <c r="D267" s="66"/>
      <c r="E267" s="66"/>
      <c r="F267" s="66"/>
      <c r="G267" s="66"/>
      <c r="H267" s="66"/>
      <c r="I267" s="66"/>
      <c r="J267" s="66"/>
    </row>
    <row r="268" spans="1:10" ht="11.1" customHeight="1">
      <c r="A268" s="71"/>
      <c r="B268" s="66"/>
      <c r="C268" s="66"/>
      <c r="D268" s="66"/>
      <c r="E268" s="66"/>
      <c r="F268" s="66"/>
      <c r="G268" s="66"/>
      <c r="H268" s="66"/>
      <c r="I268" s="66"/>
      <c r="J268" s="66"/>
    </row>
    <row r="269" spans="1:10" ht="11.1" customHeight="1">
      <c r="A269" s="71"/>
      <c r="B269" s="66"/>
      <c r="C269" s="66"/>
      <c r="D269" s="66"/>
      <c r="E269" s="66"/>
      <c r="F269" s="66"/>
      <c r="G269" s="66"/>
      <c r="H269" s="66"/>
      <c r="I269" s="66"/>
      <c r="J269" s="66"/>
    </row>
    <row r="270" spans="1:10" ht="11.1" customHeight="1">
      <c r="A270" s="71"/>
      <c r="B270" s="66"/>
      <c r="C270" s="66"/>
      <c r="D270" s="66"/>
      <c r="E270" s="66"/>
      <c r="F270" s="66"/>
      <c r="G270" s="66"/>
      <c r="H270" s="66"/>
      <c r="I270" s="66"/>
      <c r="J270" s="66"/>
    </row>
    <row r="271" spans="1:10" ht="11.1" customHeight="1">
      <c r="A271" s="71"/>
      <c r="B271" s="66"/>
      <c r="C271" s="66"/>
      <c r="D271" s="66"/>
      <c r="E271" s="66"/>
      <c r="F271" s="66"/>
      <c r="G271" s="66"/>
      <c r="H271" s="66"/>
      <c r="I271" s="66"/>
      <c r="J271" s="66"/>
    </row>
    <row r="272" spans="1:10" ht="11.1" customHeight="1">
      <c r="A272" s="71"/>
      <c r="B272" s="66"/>
      <c r="C272" s="66"/>
      <c r="D272" s="66"/>
      <c r="E272" s="66"/>
      <c r="F272" s="66"/>
      <c r="G272" s="66"/>
      <c r="H272" s="66"/>
      <c r="I272" s="66"/>
      <c r="J272" s="66"/>
    </row>
    <row r="273" spans="1:10" ht="11.1" customHeight="1">
      <c r="A273" s="71"/>
      <c r="B273" s="66"/>
      <c r="C273" s="66"/>
      <c r="D273" s="66"/>
      <c r="E273" s="66"/>
      <c r="F273" s="66"/>
      <c r="G273" s="66"/>
      <c r="H273" s="66"/>
      <c r="I273" s="66"/>
      <c r="J273" s="66"/>
    </row>
    <row r="274" spans="1:10" ht="11.1" customHeight="1">
      <c r="A274" s="71"/>
      <c r="B274" s="66"/>
      <c r="C274" s="66"/>
      <c r="D274" s="66"/>
      <c r="E274" s="66"/>
      <c r="F274" s="66"/>
      <c r="G274" s="66"/>
      <c r="H274" s="66"/>
      <c r="I274" s="66"/>
      <c r="J274" s="66"/>
    </row>
    <row r="275" spans="1:10" ht="11.1" customHeight="1">
      <c r="A275" s="71"/>
      <c r="B275" s="66"/>
      <c r="C275" s="66"/>
      <c r="D275" s="66"/>
      <c r="E275" s="66"/>
      <c r="F275" s="66"/>
      <c r="G275" s="66"/>
      <c r="H275" s="66"/>
      <c r="I275" s="66"/>
      <c r="J275" s="66"/>
    </row>
    <row r="276" spans="1:10" ht="11.1" customHeight="1">
      <c r="A276" s="71"/>
      <c r="B276" s="66"/>
      <c r="C276" s="66"/>
      <c r="D276" s="66"/>
      <c r="E276" s="66"/>
      <c r="F276" s="66"/>
      <c r="G276" s="66"/>
      <c r="H276" s="66"/>
      <c r="I276" s="66"/>
      <c r="J276" s="66"/>
    </row>
    <row r="277" spans="1:10" ht="11.1" customHeight="1">
      <c r="A277" s="71"/>
      <c r="B277" s="66"/>
      <c r="C277" s="66"/>
      <c r="D277" s="66"/>
      <c r="E277" s="66"/>
      <c r="F277" s="66"/>
      <c r="G277" s="66"/>
      <c r="H277" s="66"/>
      <c r="I277" s="66"/>
      <c r="J277" s="66"/>
    </row>
    <row r="278" spans="1:10" ht="11.1" customHeight="1">
      <c r="A278" s="71"/>
      <c r="B278" s="66"/>
      <c r="C278" s="66"/>
      <c r="D278" s="66"/>
      <c r="E278" s="66"/>
      <c r="F278" s="66"/>
      <c r="G278" s="66"/>
      <c r="H278" s="66"/>
      <c r="I278" s="66"/>
      <c r="J278" s="66"/>
    </row>
    <row r="279" spans="1:10" ht="11.1" customHeight="1">
      <c r="A279" s="71"/>
      <c r="B279" s="66"/>
      <c r="C279" s="66"/>
      <c r="D279" s="66"/>
      <c r="E279" s="66"/>
      <c r="F279" s="66"/>
      <c r="G279" s="66"/>
      <c r="H279" s="66"/>
      <c r="I279" s="66"/>
      <c r="J279" s="66"/>
    </row>
    <row r="280" spans="1:10" ht="11.1" customHeight="1">
      <c r="A280" s="71"/>
      <c r="B280" s="66"/>
      <c r="C280" s="66"/>
      <c r="D280" s="66"/>
      <c r="E280" s="66"/>
      <c r="F280" s="66"/>
      <c r="G280" s="66"/>
      <c r="H280" s="66"/>
      <c r="I280" s="66"/>
      <c r="J280" s="66"/>
    </row>
    <row r="281" spans="1:10" ht="11.1" customHeight="1">
      <c r="A281" s="71"/>
      <c r="B281" s="66"/>
      <c r="C281" s="66"/>
      <c r="D281" s="66"/>
      <c r="E281" s="66"/>
      <c r="F281" s="66"/>
      <c r="G281" s="66"/>
      <c r="H281" s="66"/>
      <c r="I281" s="66"/>
      <c r="J281" s="66"/>
    </row>
    <row r="282" spans="1:10" ht="11.1" customHeight="1">
      <c r="A282" s="71"/>
      <c r="B282" s="66"/>
      <c r="C282" s="66"/>
      <c r="D282" s="66"/>
      <c r="E282" s="66"/>
      <c r="F282" s="66"/>
      <c r="G282" s="66"/>
      <c r="H282" s="66"/>
      <c r="I282" s="66"/>
      <c r="J282" s="66"/>
    </row>
    <row r="283" spans="1:10" ht="11.1" customHeight="1">
      <c r="A283" s="71"/>
      <c r="B283" s="66"/>
      <c r="C283" s="66"/>
      <c r="D283" s="66"/>
      <c r="E283" s="66"/>
      <c r="F283" s="66"/>
      <c r="G283" s="66"/>
      <c r="H283" s="66"/>
      <c r="I283" s="66"/>
      <c r="J283" s="66"/>
    </row>
    <row r="284" spans="1:10" ht="11.1" customHeight="1">
      <c r="A284" s="71"/>
      <c r="B284" s="66"/>
      <c r="C284" s="66"/>
      <c r="D284" s="66"/>
      <c r="E284" s="66"/>
      <c r="F284" s="66"/>
      <c r="G284" s="66"/>
      <c r="H284" s="66"/>
      <c r="I284" s="66"/>
      <c r="J284" s="66"/>
    </row>
    <row r="285" spans="1:10" ht="11.1" customHeight="1">
      <c r="A285" s="71"/>
      <c r="B285" s="66"/>
      <c r="C285" s="66"/>
      <c r="D285" s="66"/>
      <c r="E285" s="66"/>
      <c r="F285" s="66"/>
      <c r="G285" s="66"/>
      <c r="H285" s="66"/>
      <c r="I285" s="66"/>
      <c r="J285" s="66"/>
    </row>
    <row r="286" spans="1:10" ht="11.1" customHeight="1">
      <c r="A286" s="71"/>
      <c r="B286" s="66"/>
      <c r="C286" s="66"/>
      <c r="D286" s="66"/>
      <c r="E286" s="66"/>
      <c r="F286" s="66"/>
      <c r="G286" s="66"/>
      <c r="H286" s="66"/>
      <c r="I286" s="66"/>
      <c r="J286" s="66"/>
    </row>
    <row r="287" spans="1:10" ht="11.1" customHeight="1">
      <c r="A287" s="71"/>
      <c r="B287" s="66"/>
      <c r="C287" s="66"/>
      <c r="D287" s="66"/>
      <c r="E287" s="66"/>
      <c r="F287" s="66"/>
      <c r="G287" s="66"/>
      <c r="H287" s="66"/>
      <c r="I287" s="66"/>
      <c r="J287" s="66"/>
    </row>
    <row r="288" spans="1:10" ht="11.1" customHeight="1">
      <c r="A288" s="71"/>
      <c r="B288" s="66"/>
      <c r="C288" s="66"/>
      <c r="D288" s="66"/>
      <c r="E288" s="66"/>
      <c r="F288" s="66"/>
      <c r="G288" s="66"/>
      <c r="H288" s="66"/>
      <c r="I288" s="66"/>
      <c r="J288" s="66"/>
    </row>
    <row r="289" spans="1:10" ht="11.1" customHeight="1">
      <c r="A289" s="71"/>
      <c r="B289" s="66"/>
      <c r="C289" s="66"/>
      <c r="D289" s="66"/>
      <c r="E289" s="66"/>
      <c r="F289" s="66"/>
      <c r="G289" s="66"/>
      <c r="H289" s="66"/>
      <c r="I289" s="66"/>
      <c r="J289" s="66"/>
    </row>
    <row r="290" spans="1:10" ht="11.1" customHeight="1">
      <c r="A290" s="71"/>
      <c r="B290" s="66"/>
      <c r="C290" s="66"/>
      <c r="D290" s="66"/>
      <c r="E290" s="66"/>
      <c r="F290" s="66"/>
      <c r="G290" s="66"/>
      <c r="H290" s="66"/>
      <c r="I290" s="66"/>
      <c r="J290" s="66"/>
    </row>
    <row r="291" spans="1:10" ht="11.1" customHeight="1">
      <c r="A291" s="71"/>
      <c r="B291" s="66"/>
      <c r="C291" s="66"/>
      <c r="D291" s="66"/>
      <c r="E291" s="66"/>
      <c r="F291" s="66"/>
      <c r="G291" s="66"/>
      <c r="H291" s="66"/>
      <c r="I291" s="66"/>
      <c r="J291" s="66"/>
    </row>
    <row r="292" spans="1:10" ht="11.1" customHeight="1">
      <c r="A292" s="71"/>
      <c r="B292" s="66"/>
      <c r="C292" s="66"/>
      <c r="D292" s="66"/>
      <c r="E292" s="66"/>
      <c r="F292" s="66"/>
      <c r="G292" s="66"/>
      <c r="H292" s="66"/>
      <c r="I292" s="66"/>
      <c r="J292" s="66"/>
    </row>
    <row r="293" spans="1:10" ht="11.1" customHeight="1">
      <c r="A293" s="71"/>
      <c r="B293" s="66"/>
      <c r="C293" s="66"/>
      <c r="D293" s="66"/>
      <c r="E293" s="66"/>
      <c r="F293" s="66"/>
      <c r="G293" s="66"/>
      <c r="H293" s="66"/>
      <c r="I293" s="66"/>
      <c r="J293" s="66"/>
    </row>
    <row r="294" spans="1:10" ht="11.1" customHeight="1">
      <c r="A294" s="71"/>
      <c r="B294" s="66"/>
      <c r="C294" s="66"/>
      <c r="D294" s="66"/>
      <c r="E294" s="66"/>
      <c r="F294" s="66"/>
      <c r="G294" s="66"/>
      <c r="H294" s="66"/>
      <c r="I294" s="66"/>
      <c r="J294" s="66"/>
    </row>
    <row r="295" spans="1:10" ht="11.1" customHeight="1">
      <c r="A295" s="71"/>
      <c r="B295" s="66"/>
      <c r="C295" s="66"/>
      <c r="D295" s="66"/>
      <c r="E295" s="66"/>
      <c r="F295" s="66"/>
      <c r="G295" s="66"/>
      <c r="H295" s="66"/>
      <c r="I295" s="66"/>
      <c r="J295" s="66"/>
    </row>
    <row r="296" spans="1:10" ht="11.1" customHeight="1">
      <c r="A296" s="71"/>
      <c r="B296" s="66"/>
      <c r="C296" s="66"/>
      <c r="D296" s="66"/>
      <c r="E296" s="66"/>
      <c r="F296" s="66"/>
      <c r="G296" s="66"/>
      <c r="H296" s="66"/>
      <c r="I296" s="66"/>
      <c r="J296" s="66"/>
    </row>
    <row r="297" spans="1:10" ht="11.1" customHeight="1">
      <c r="A297" s="71"/>
      <c r="B297" s="66"/>
      <c r="C297" s="66"/>
      <c r="D297" s="66"/>
      <c r="E297" s="66"/>
      <c r="F297" s="66"/>
      <c r="G297" s="66"/>
      <c r="H297" s="66"/>
      <c r="I297" s="66"/>
      <c r="J297" s="66"/>
    </row>
    <row r="298" spans="1:10" ht="11.1" customHeight="1">
      <c r="A298" s="71"/>
      <c r="B298" s="66"/>
      <c r="C298" s="66"/>
      <c r="D298" s="66"/>
      <c r="E298" s="66"/>
      <c r="F298" s="66"/>
      <c r="G298" s="66"/>
      <c r="H298" s="66"/>
      <c r="I298" s="66"/>
      <c r="J298" s="66"/>
    </row>
    <row r="299" spans="1:10" ht="11.1" customHeight="1">
      <c r="A299" s="71"/>
      <c r="B299" s="66"/>
      <c r="C299" s="66"/>
      <c r="D299" s="66"/>
      <c r="E299" s="66"/>
      <c r="F299" s="66"/>
      <c r="G299" s="66"/>
      <c r="H299" s="66"/>
      <c r="I299" s="66"/>
      <c r="J299" s="66"/>
    </row>
    <row r="300" spans="1:10" ht="11.1" customHeight="1">
      <c r="A300" s="71"/>
      <c r="B300" s="66"/>
      <c r="C300" s="66"/>
      <c r="D300" s="66"/>
      <c r="E300" s="66"/>
      <c r="F300" s="66"/>
      <c r="G300" s="66"/>
      <c r="H300" s="66"/>
      <c r="I300" s="66"/>
      <c r="J300" s="66"/>
    </row>
    <row r="301" spans="1:10" ht="11.1" customHeight="1">
      <c r="A301" s="71"/>
      <c r="B301" s="66"/>
      <c r="C301" s="66"/>
      <c r="D301" s="66"/>
      <c r="E301" s="66"/>
      <c r="F301" s="66"/>
      <c r="G301" s="66"/>
      <c r="H301" s="66"/>
      <c r="I301" s="66"/>
      <c r="J301" s="66"/>
    </row>
    <row r="302" spans="1:10" ht="11.1" customHeight="1">
      <c r="A302" s="71"/>
      <c r="B302" s="66"/>
      <c r="C302" s="66"/>
      <c r="D302" s="66"/>
      <c r="E302" s="66"/>
      <c r="F302" s="66"/>
      <c r="G302" s="66"/>
      <c r="H302" s="66"/>
      <c r="I302" s="66"/>
      <c r="J302" s="66"/>
    </row>
    <row r="303" spans="1:10" ht="11.1" customHeight="1">
      <c r="A303" s="71"/>
      <c r="B303" s="66"/>
      <c r="C303" s="66"/>
      <c r="D303" s="66"/>
      <c r="E303" s="66"/>
      <c r="F303" s="66"/>
      <c r="G303" s="66"/>
      <c r="H303" s="66"/>
      <c r="I303" s="66"/>
      <c r="J303" s="66"/>
    </row>
    <row r="304" spans="1:10" ht="11.1" customHeight="1">
      <c r="A304" s="71"/>
      <c r="B304" s="66"/>
      <c r="C304" s="66"/>
      <c r="D304" s="66"/>
      <c r="E304" s="66"/>
      <c r="F304" s="66"/>
      <c r="G304" s="66"/>
      <c r="H304" s="66"/>
      <c r="I304" s="66"/>
      <c r="J304" s="66"/>
    </row>
    <row r="305" spans="1:10" ht="11.1" customHeight="1">
      <c r="A305" s="71"/>
      <c r="B305" s="66"/>
      <c r="C305" s="66"/>
      <c r="D305" s="66"/>
      <c r="E305" s="66"/>
      <c r="F305" s="66"/>
      <c r="G305" s="66"/>
      <c r="H305" s="66"/>
      <c r="I305" s="66"/>
      <c r="J305" s="66"/>
    </row>
    <row r="306" spans="1:10" ht="11.1" customHeight="1">
      <c r="A306" s="71"/>
      <c r="B306" s="66"/>
      <c r="C306" s="66"/>
      <c r="D306" s="66"/>
      <c r="E306" s="66"/>
      <c r="F306" s="66"/>
      <c r="G306" s="66"/>
      <c r="H306" s="66"/>
      <c r="I306" s="66"/>
      <c r="J306" s="66"/>
    </row>
    <row r="307" spans="1:10" ht="11.1" customHeight="1">
      <c r="A307" s="71"/>
      <c r="B307" s="66"/>
      <c r="C307" s="66"/>
      <c r="D307" s="66"/>
      <c r="E307" s="66"/>
      <c r="F307" s="66"/>
      <c r="G307" s="66"/>
      <c r="H307" s="66"/>
      <c r="I307" s="66"/>
      <c r="J307" s="66"/>
    </row>
    <row r="308" spans="1:10" ht="11.1" customHeight="1">
      <c r="A308" s="71"/>
      <c r="B308" s="66"/>
      <c r="C308" s="66"/>
      <c r="D308" s="66"/>
      <c r="E308" s="66"/>
      <c r="F308" s="66"/>
      <c r="G308" s="66"/>
      <c r="H308" s="66"/>
      <c r="I308" s="66"/>
      <c r="J308" s="66"/>
    </row>
    <row r="309" spans="1:10" ht="11.1" customHeight="1">
      <c r="A309" s="71"/>
      <c r="B309" s="66"/>
      <c r="C309" s="66"/>
      <c r="D309" s="66"/>
      <c r="E309" s="66"/>
      <c r="F309" s="66"/>
      <c r="G309" s="66"/>
      <c r="H309" s="66"/>
      <c r="I309" s="66"/>
      <c r="J309" s="66"/>
    </row>
    <row r="310" spans="1:10" ht="11.1" customHeight="1">
      <c r="A310" s="71"/>
      <c r="B310" s="66"/>
      <c r="C310" s="66"/>
      <c r="D310" s="66"/>
      <c r="E310" s="66"/>
      <c r="F310" s="66"/>
      <c r="G310" s="66"/>
      <c r="H310" s="66"/>
      <c r="I310" s="66"/>
      <c r="J310" s="66"/>
    </row>
    <row r="311" spans="1:10" ht="11.1" customHeight="1">
      <c r="A311" s="71"/>
      <c r="B311" s="66"/>
      <c r="C311" s="66"/>
      <c r="D311" s="66"/>
      <c r="E311" s="66"/>
      <c r="F311" s="66"/>
      <c r="G311" s="66"/>
      <c r="H311" s="66"/>
      <c r="I311" s="66"/>
      <c r="J311" s="66"/>
    </row>
    <row r="312" spans="1:10" ht="11.1" customHeight="1">
      <c r="A312" s="71"/>
      <c r="B312" s="66"/>
      <c r="C312" s="66"/>
      <c r="D312" s="66"/>
      <c r="E312" s="66"/>
      <c r="F312" s="66"/>
      <c r="G312" s="66"/>
      <c r="H312" s="66"/>
      <c r="I312" s="66"/>
      <c r="J312" s="66"/>
    </row>
    <row r="313" spans="1:10" ht="11.1" customHeight="1">
      <c r="A313" s="71"/>
      <c r="B313" s="66"/>
      <c r="C313" s="66"/>
      <c r="D313" s="66"/>
      <c r="E313" s="66"/>
      <c r="F313" s="66"/>
      <c r="G313" s="66"/>
      <c r="H313" s="66"/>
      <c r="I313" s="66"/>
      <c r="J313" s="66"/>
    </row>
    <row r="314" spans="1:10" ht="11.1" customHeight="1">
      <c r="A314" s="71"/>
      <c r="B314" s="66"/>
      <c r="C314" s="66"/>
      <c r="D314" s="66"/>
      <c r="E314" s="66"/>
      <c r="F314" s="66"/>
      <c r="G314" s="66"/>
      <c r="H314" s="66"/>
      <c r="I314" s="66"/>
      <c r="J314" s="66"/>
    </row>
    <row r="315" spans="1:10" ht="11.1" customHeight="1">
      <c r="A315" s="71"/>
      <c r="B315" s="66"/>
      <c r="C315" s="66"/>
      <c r="D315" s="66"/>
      <c r="E315" s="66"/>
      <c r="F315" s="66"/>
      <c r="G315" s="66"/>
      <c r="H315" s="66"/>
      <c r="I315" s="66"/>
      <c r="J315" s="66"/>
    </row>
    <row r="316" spans="1:10" ht="11.1" customHeight="1">
      <c r="A316" s="71"/>
      <c r="B316" s="66"/>
      <c r="C316" s="66"/>
      <c r="D316" s="66"/>
      <c r="E316" s="66"/>
      <c r="F316" s="66"/>
      <c r="G316" s="66"/>
      <c r="H316" s="66"/>
      <c r="I316" s="66"/>
      <c r="J316" s="66"/>
    </row>
    <row r="317" spans="1:10" ht="11.1" customHeight="1">
      <c r="A317" s="71"/>
      <c r="B317" s="66"/>
      <c r="C317" s="66"/>
      <c r="D317" s="66"/>
      <c r="E317" s="66"/>
      <c r="F317" s="66"/>
      <c r="G317" s="66"/>
      <c r="H317" s="66"/>
      <c r="I317" s="66"/>
      <c r="J317" s="66"/>
    </row>
    <row r="318" spans="1:10" ht="11.1" customHeight="1">
      <c r="A318" s="71"/>
      <c r="B318" s="66"/>
      <c r="C318" s="66"/>
      <c r="D318" s="66"/>
      <c r="E318" s="66"/>
      <c r="F318" s="66"/>
      <c r="G318" s="66"/>
      <c r="H318" s="66"/>
      <c r="I318" s="66"/>
      <c r="J318" s="66"/>
    </row>
    <row r="319" spans="1:10" ht="11.1" customHeight="1">
      <c r="A319" s="71"/>
      <c r="B319" s="66"/>
      <c r="C319" s="66"/>
      <c r="D319" s="66"/>
      <c r="E319" s="66"/>
      <c r="F319" s="66"/>
      <c r="G319" s="66"/>
      <c r="H319" s="66"/>
      <c r="I319" s="66"/>
      <c r="J319" s="66"/>
    </row>
    <row r="320" spans="1:10" ht="11.1" customHeight="1">
      <c r="A320" s="71"/>
      <c r="B320" s="66"/>
      <c r="C320" s="66"/>
      <c r="D320" s="66"/>
      <c r="E320" s="66"/>
      <c r="F320" s="66"/>
      <c r="G320" s="66"/>
      <c r="H320" s="66"/>
      <c r="I320" s="66"/>
      <c r="J320" s="66"/>
    </row>
    <row r="321" spans="1:10" ht="11.1" customHeight="1">
      <c r="A321" s="71"/>
      <c r="B321" s="66"/>
      <c r="C321" s="66"/>
      <c r="D321" s="66"/>
      <c r="E321" s="66"/>
      <c r="F321" s="66"/>
      <c r="G321" s="66"/>
      <c r="H321" s="66"/>
      <c r="I321" s="66"/>
      <c r="J321" s="66"/>
    </row>
    <row r="322" spans="1:10" ht="11.1" customHeight="1">
      <c r="A322" s="71"/>
      <c r="B322" s="66"/>
      <c r="C322" s="66"/>
      <c r="D322" s="66"/>
      <c r="E322" s="66"/>
      <c r="F322" s="66"/>
      <c r="G322" s="66"/>
      <c r="H322" s="66"/>
      <c r="I322" s="66"/>
      <c r="J322" s="66"/>
    </row>
    <row r="323" spans="1:10" ht="11.1" customHeight="1">
      <c r="A323" s="71"/>
      <c r="B323" s="66"/>
      <c r="C323" s="66"/>
      <c r="D323" s="66"/>
      <c r="E323" s="66"/>
      <c r="F323" s="66"/>
      <c r="G323" s="66"/>
      <c r="H323" s="66"/>
      <c r="I323" s="66"/>
      <c r="J323" s="66"/>
    </row>
    <row r="324" spans="1:10" ht="11.1" customHeight="1">
      <c r="A324" s="71"/>
      <c r="B324" s="66"/>
      <c r="C324" s="66"/>
      <c r="D324" s="66"/>
      <c r="E324" s="66"/>
      <c r="F324" s="66"/>
      <c r="G324" s="66"/>
      <c r="H324" s="66"/>
      <c r="I324" s="66"/>
      <c r="J324" s="66"/>
    </row>
    <row r="325" spans="1:10" ht="11.1" customHeight="1">
      <c r="A325" s="71"/>
      <c r="B325" s="66"/>
      <c r="C325" s="66"/>
      <c r="D325" s="66"/>
      <c r="E325" s="66"/>
      <c r="F325" s="66"/>
      <c r="G325" s="66"/>
      <c r="H325" s="66"/>
      <c r="I325" s="66"/>
      <c r="J325" s="66"/>
    </row>
    <row r="326" spans="1:10" ht="11.1" customHeight="1">
      <c r="A326" s="71"/>
      <c r="B326" s="66"/>
      <c r="C326" s="66"/>
      <c r="D326" s="66"/>
      <c r="E326" s="66"/>
      <c r="F326" s="66"/>
      <c r="G326" s="66"/>
      <c r="H326" s="66"/>
      <c r="I326" s="66"/>
      <c r="J326" s="66"/>
    </row>
    <row r="327" spans="1:10" ht="11.1" customHeight="1">
      <c r="A327" s="71"/>
      <c r="B327" s="66"/>
      <c r="C327" s="66"/>
      <c r="D327" s="66"/>
      <c r="E327" s="66"/>
      <c r="F327" s="66"/>
      <c r="G327" s="66"/>
      <c r="H327" s="66"/>
      <c r="I327" s="66"/>
      <c r="J327" s="66"/>
    </row>
    <row r="328" spans="1:10" ht="11.1" customHeight="1">
      <c r="A328" s="71"/>
      <c r="B328" s="66"/>
      <c r="C328" s="66"/>
      <c r="D328" s="66"/>
      <c r="E328" s="66"/>
      <c r="F328" s="66"/>
      <c r="G328" s="66"/>
      <c r="H328" s="66"/>
      <c r="I328" s="66"/>
      <c r="J328" s="66"/>
    </row>
    <row r="329" spans="1:10" ht="11.1" customHeight="1">
      <c r="A329" s="71"/>
      <c r="B329" s="66"/>
      <c r="C329" s="66"/>
      <c r="D329" s="66"/>
      <c r="E329" s="66"/>
      <c r="F329" s="66"/>
      <c r="G329" s="66"/>
      <c r="H329" s="66"/>
      <c r="I329" s="66"/>
      <c r="J329" s="66"/>
    </row>
    <row r="330" spans="1:10" ht="11.1" customHeight="1">
      <c r="A330" s="71"/>
      <c r="B330" s="66"/>
      <c r="C330" s="66"/>
      <c r="D330" s="66"/>
      <c r="E330" s="66"/>
      <c r="F330" s="66"/>
      <c r="G330" s="66"/>
      <c r="H330" s="66"/>
      <c r="I330" s="66"/>
      <c r="J330" s="66"/>
    </row>
    <row r="331" spans="1:10" ht="11.1" customHeight="1">
      <c r="A331" s="71"/>
      <c r="B331" s="66"/>
      <c r="C331" s="66"/>
      <c r="D331" s="66"/>
      <c r="E331" s="66"/>
      <c r="F331" s="66"/>
      <c r="G331" s="66"/>
      <c r="H331" s="66"/>
      <c r="I331" s="66"/>
      <c r="J331" s="66"/>
    </row>
    <row r="332" spans="1:10" ht="11.1" customHeight="1">
      <c r="A332" s="71"/>
      <c r="B332" s="66"/>
      <c r="C332" s="66"/>
      <c r="D332" s="66"/>
      <c r="E332" s="66"/>
      <c r="F332" s="66"/>
      <c r="G332" s="66"/>
      <c r="H332" s="66"/>
      <c r="I332" s="66"/>
      <c r="J332" s="66"/>
    </row>
    <row r="333" spans="1:10" ht="11.1" customHeight="1">
      <c r="A333" s="71"/>
      <c r="B333" s="66"/>
      <c r="C333" s="66"/>
      <c r="D333" s="66"/>
      <c r="E333" s="66"/>
      <c r="F333" s="66"/>
      <c r="G333" s="66"/>
      <c r="H333" s="66"/>
      <c r="I333" s="66"/>
      <c r="J333" s="66"/>
    </row>
    <row r="334" spans="1:10" ht="11.1" customHeight="1">
      <c r="A334" s="71"/>
      <c r="B334" s="66"/>
      <c r="C334" s="66"/>
      <c r="D334" s="66"/>
      <c r="E334" s="66"/>
      <c r="F334" s="66"/>
      <c r="G334" s="66"/>
      <c r="H334" s="66"/>
      <c r="I334" s="66"/>
      <c r="J334" s="66"/>
    </row>
    <row r="335" spans="1:10" ht="11.1" customHeight="1">
      <c r="A335" s="71"/>
      <c r="B335" s="66"/>
      <c r="C335" s="66"/>
      <c r="D335" s="66"/>
      <c r="E335" s="66"/>
      <c r="F335" s="66"/>
      <c r="G335" s="66"/>
      <c r="H335" s="66"/>
      <c r="I335" s="66"/>
      <c r="J335" s="66"/>
    </row>
    <row r="336" spans="1:10" ht="11.1" customHeight="1">
      <c r="A336" s="71"/>
      <c r="B336" s="66"/>
      <c r="C336" s="66"/>
      <c r="D336" s="66"/>
      <c r="E336" s="66"/>
      <c r="F336" s="66"/>
      <c r="G336" s="66"/>
      <c r="H336" s="66"/>
      <c r="I336" s="66"/>
      <c r="J336" s="66"/>
    </row>
    <row r="337" spans="1:10" ht="11.1" customHeight="1">
      <c r="A337" s="71"/>
      <c r="B337" s="66"/>
      <c r="C337" s="66"/>
      <c r="D337" s="66"/>
      <c r="E337" s="66"/>
      <c r="F337" s="66"/>
      <c r="G337" s="66"/>
      <c r="H337" s="66"/>
      <c r="I337" s="66"/>
      <c r="J337" s="66"/>
    </row>
    <row r="338" spans="1:10" ht="11.1" customHeight="1">
      <c r="A338" s="71"/>
      <c r="B338" s="66"/>
      <c r="C338" s="66"/>
      <c r="D338" s="66"/>
      <c r="E338" s="66"/>
      <c r="F338" s="66"/>
      <c r="G338" s="66"/>
      <c r="H338" s="66"/>
      <c r="I338" s="66"/>
      <c r="J338" s="66"/>
    </row>
    <row r="339" spans="1:10" ht="11.1" customHeight="1">
      <c r="A339" s="71"/>
      <c r="B339" s="66"/>
      <c r="C339" s="66"/>
      <c r="D339" s="66"/>
      <c r="E339" s="66"/>
      <c r="F339" s="66"/>
      <c r="G339" s="66"/>
      <c r="H339" s="66"/>
      <c r="I339" s="66"/>
      <c r="J339" s="66"/>
    </row>
    <row r="340" spans="1:10" ht="11.1" customHeight="1">
      <c r="A340" s="71"/>
      <c r="B340" s="66"/>
      <c r="C340" s="66"/>
      <c r="D340" s="66"/>
      <c r="E340" s="66"/>
      <c r="F340" s="66"/>
      <c r="G340" s="66"/>
      <c r="H340" s="66"/>
      <c r="I340" s="66"/>
      <c r="J340" s="66"/>
    </row>
    <row r="341" spans="1:10" ht="11.1" customHeight="1">
      <c r="A341" s="71"/>
      <c r="B341" s="66"/>
      <c r="C341" s="66"/>
      <c r="D341" s="66"/>
      <c r="E341" s="66"/>
      <c r="F341" s="66"/>
      <c r="G341" s="66"/>
      <c r="H341" s="66"/>
      <c r="I341" s="66"/>
      <c r="J341" s="66"/>
    </row>
    <row r="342" spans="1:10" ht="11.1" customHeight="1">
      <c r="A342" s="71"/>
      <c r="B342" s="66"/>
      <c r="C342" s="66"/>
      <c r="D342" s="66"/>
      <c r="E342" s="66"/>
      <c r="F342" s="66"/>
      <c r="G342" s="66"/>
      <c r="H342" s="66"/>
      <c r="I342" s="66"/>
      <c r="J342" s="66"/>
    </row>
    <row r="343" spans="1:10" ht="11.1" customHeight="1">
      <c r="A343" s="71"/>
      <c r="B343" s="66"/>
      <c r="C343" s="66"/>
      <c r="D343" s="66"/>
      <c r="E343" s="66"/>
      <c r="F343" s="66"/>
      <c r="G343" s="66"/>
      <c r="H343" s="66"/>
      <c r="I343" s="66"/>
      <c r="J343" s="66"/>
    </row>
    <row r="344" spans="1:10" ht="11.1" customHeight="1">
      <c r="A344" s="71"/>
      <c r="B344" s="66"/>
      <c r="C344" s="66"/>
      <c r="D344" s="66"/>
      <c r="E344" s="66"/>
      <c r="F344" s="66"/>
      <c r="G344" s="66"/>
      <c r="H344" s="66"/>
      <c r="I344" s="66"/>
      <c r="J344" s="66"/>
    </row>
    <row r="345" spans="1:10" ht="11.1" customHeight="1">
      <c r="A345" s="71"/>
      <c r="B345" s="66"/>
      <c r="C345" s="66"/>
      <c r="D345" s="66"/>
      <c r="E345" s="66"/>
      <c r="F345" s="66"/>
      <c r="G345" s="66"/>
      <c r="H345" s="66"/>
      <c r="I345" s="66"/>
      <c r="J345" s="66"/>
    </row>
    <row r="346" spans="1:10" ht="11.1" customHeight="1">
      <c r="A346" s="71"/>
      <c r="B346" s="66"/>
      <c r="C346" s="66"/>
      <c r="D346" s="66"/>
      <c r="E346" s="66"/>
      <c r="F346" s="66"/>
      <c r="G346" s="66"/>
      <c r="H346" s="66"/>
      <c r="I346" s="66"/>
      <c r="J346" s="66"/>
    </row>
    <row r="347" spans="1:10" ht="11.1" customHeight="1">
      <c r="A347" s="71"/>
      <c r="B347" s="66"/>
      <c r="C347" s="66"/>
      <c r="D347" s="66"/>
      <c r="E347" s="66"/>
      <c r="F347" s="66"/>
      <c r="G347" s="66"/>
      <c r="H347" s="66"/>
      <c r="I347" s="66"/>
      <c r="J347" s="66"/>
    </row>
    <row r="348" spans="1:10" ht="11.1" customHeight="1">
      <c r="A348" s="71"/>
      <c r="B348" s="66"/>
      <c r="C348" s="66"/>
      <c r="D348" s="66"/>
      <c r="E348" s="66"/>
      <c r="F348" s="66"/>
      <c r="G348" s="66"/>
      <c r="H348" s="66"/>
      <c r="I348" s="66"/>
      <c r="J348" s="66"/>
    </row>
    <row r="349" spans="1:10" ht="11.1" customHeight="1">
      <c r="A349" s="71"/>
      <c r="B349" s="66"/>
      <c r="C349" s="66"/>
      <c r="D349" s="66"/>
      <c r="E349" s="66"/>
      <c r="F349" s="66"/>
      <c r="G349" s="66"/>
      <c r="H349" s="66"/>
      <c r="I349" s="66"/>
      <c r="J349" s="66"/>
    </row>
    <row r="350" spans="1:10" ht="11.1" customHeight="1">
      <c r="A350" s="71"/>
      <c r="B350" s="66"/>
      <c r="C350" s="66"/>
      <c r="D350" s="66"/>
      <c r="E350" s="66"/>
      <c r="F350" s="66"/>
      <c r="G350" s="66"/>
      <c r="H350" s="66"/>
      <c r="I350" s="66"/>
      <c r="J350" s="66"/>
    </row>
    <row r="351" spans="1:10" ht="11.1" customHeight="1">
      <c r="A351" s="71"/>
      <c r="B351" s="66"/>
      <c r="C351" s="66"/>
      <c r="D351" s="66"/>
      <c r="E351" s="66"/>
      <c r="F351" s="66"/>
      <c r="G351" s="66"/>
      <c r="H351" s="66"/>
      <c r="I351" s="66"/>
      <c r="J351" s="66"/>
    </row>
    <row r="352" spans="1:10" ht="11.1" customHeight="1">
      <c r="A352" s="71"/>
      <c r="B352" s="66"/>
      <c r="C352" s="66"/>
      <c r="D352" s="66"/>
      <c r="E352" s="66"/>
      <c r="F352" s="66"/>
      <c r="G352" s="66"/>
      <c r="H352" s="66"/>
      <c r="I352" s="66"/>
      <c r="J352" s="66"/>
    </row>
    <row r="353" spans="1:10" ht="11.1" customHeight="1">
      <c r="A353" s="71"/>
      <c r="B353" s="66"/>
      <c r="C353" s="66"/>
      <c r="D353" s="66"/>
      <c r="E353" s="66"/>
      <c r="F353" s="66"/>
      <c r="G353" s="66"/>
      <c r="H353" s="66"/>
      <c r="I353" s="66"/>
      <c r="J353" s="66"/>
    </row>
    <row r="354" spans="1:10" ht="11.1" customHeight="1">
      <c r="A354" s="71"/>
      <c r="B354" s="66"/>
      <c r="C354" s="66"/>
      <c r="D354" s="66"/>
      <c r="E354" s="66"/>
      <c r="F354" s="66"/>
      <c r="G354" s="66"/>
      <c r="H354" s="66"/>
      <c r="I354" s="66"/>
      <c r="J354" s="66"/>
    </row>
    <row r="355" spans="1:10" ht="11.1" customHeight="1">
      <c r="A355" s="71"/>
      <c r="B355" s="66"/>
      <c r="C355" s="66"/>
      <c r="D355" s="66"/>
      <c r="E355" s="66"/>
      <c r="F355" s="66"/>
      <c r="G355" s="66"/>
      <c r="H355" s="66"/>
      <c r="I355" s="66"/>
      <c r="J355" s="66"/>
    </row>
    <row r="356" spans="1:10" ht="11.1" customHeight="1">
      <c r="A356" s="71"/>
      <c r="B356" s="66"/>
      <c r="C356" s="66"/>
      <c r="D356" s="66"/>
      <c r="E356" s="66"/>
      <c r="F356" s="66"/>
      <c r="G356" s="66"/>
      <c r="H356" s="66"/>
      <c r="I356" s="66"/>
      <c r="J356" s="66"/>
    </row>
    <row r="357" spans="1:10" ht="11.1" customHeight="1">
      <c r="A357" s="71"/>
      <c r="B357" s="66"/>
      <c r="C357" s="66"/>
      <c r="D357" s="66"/>
      <c r="E357" s="66"/>
      <c r="F357" s="66"/>
      <c r="G357" s="66"/>
      <c r="H357" s="66"/>
      <c r="I357" s="66"/>
      <c r="J357" s="66"/>
    </row>
    <row r="358" spans="1:10" ht="11.1" customHeight="1">
      <c r="A358" s="71"/>
      <c r="B358" s="66"/>
      <c r="C358" s="66"/>
      <c r="D358" s="66"/>
      <c r="E358" s="66"/>
      <c r="F358" s="66"/>
      <c r="G358" s="66"/>
      <c r="H358" s="66"/>
      <c r="I358" s="66"/>
      <c r="J358" s="66"/>
    </row>
    <row r="359" spans="1:10" ht="11.1" customHeight="1">
      <c r="A359" s="71"/>
      <c r="B359" s="66"/>
      <c r="C359" s="66"/>
      <c r="D359" s="66"/>
      <c r="E359" s="66"/>
      <c r="F359" s="66"/>
      <c r="G359" s="66"/>
      <c r="H359" s="66"/>
      <c r="I359" s="66"/>
      <c r="J359" s="66"/>
    </row>
    <row r="360" spans="1:10" ht="11.1" customHeight="1">
      <c r="A360" s="71"/>
      <c r="B360" s="66"/>
      <c r="C360" s="66"/>
      <c r="D360" s="66"/>
      <c r="E360" s="66"/>
      <c r="F360" s="66"/>
      <c r="G360" s="66"/>
      <c r="H360" s="66"/>
      <c r="I360" s="66"/>
      <c r="J360" s="66"/>
    </row>
    <row r="361" spans="1:10" ht="11.1" customHeight="1">
      <c r="A361" s="71"/>
      <c r="B361" s="66"/>
      <c r="C361" s="66"/>
      <c r="D361" s="66"/>
      <c r="E361" s="66"/>
      <c r="F361" s="66"/>
      <c r="G361" s="66"/>
      <c r="H361" s="66"/>
      <c r="I361" s="66"/>
      <c r="J361" s="66"/>
    </row>
    <row r="362" spans="1:10" ht="11.1" customHeight="1">
      <c r="A362" s="71"/>
      <c r="B362" s="66"/>
      <c r="C362" s="66"/>
      <c r="D362" s="66"/>
      <c r="E362" s="66"/>
      <c r="F362" s="66"/>
      <c r="G362" s="66"/>
      <c r="H362" s="66"/>
      <c r="I362" s="66"/>
      <c r="J362" s="66"/>
    </row>
    <row r="363" spans="1:10" ht="11.1" customHeight="1">
      <c r="A363" s="71"/>
      <c r="B363" s="66"/>
      <c r="C363" s="66"/>
      <c r="D363" s="66"/>
      <c r="E363" s="66"/>
      <c r="F363" s="66"/>
      <c r="G363" s="66"/>
      <c r="H363" s="66"/>
      <c r="I363" s="66"/>
      <c r="J363" s="66"/>
    </row>
    <row r="364" spans="1:10" ht="11.1" customHeight="1">
      <c r="A364" s="71"/>
      <c r="B364" s="66"/>
      <c r="C364" s="66"/>
      <c r="D364" s="66"/>
      <c r="E364" s="66"/>
      <c r="F364" s="66"/>
      <c r="G364" s="66"/>
      <c r="H364" s="66"/>
      <c r="I364" s="66"/>
      <c r="J364" s="66"/>
    </row>
    <row r="365" spans="1:10" ht="11.1" customHeight="1">
      <c r="A365" s="71"/>
      <c r="B365" s="66"/>
      <c r="C365" s="66"/>
      <c r="D365" s="66"/>
      <c r="E365" s="66"/>
      <c r="F365" s="66"/>
      <c r="G365" s="66"/>
      <c r="H365" s="66"/>
      <c r="I365" s="66"/>
      <c r="J365" s="66"/>
    </row>
    <row r="366" spans="1:10" ht="11.1" customHeight="1">
      <c r="A366" s="71"/>
      <c r="B366" s="66"/>
      <c r="C366" s="66"/>
      <c r="D366" s="66"/>
      <c r="E366" s="66"/>
      <c r="F366" s="66"/>
      <c r="G366" s="66"/>
      <c r="H366" s="66"/>
      <c r="I366" s="66"/>
      <c r="J366" s="66"/>
    </row>
    <row r="367" spans="1:10" ht="11.1" customHeight="1">
      <c r="A367" s="71"/>
      <c r="B367" s="66"/>
      <c r="C367" s="66"/>
      <c r="D367" s="66"/>
      <c r="E367" s="66"/>
      <c r="F367" s="66"/>
      <c r="G367" s="66"/>
      <c r="H367" s="66"/>
      <c r="I367" s="66"/>
      <c r="J367" s="66"/>
    </row>
    <row r="368" spans="1:10" ht="11.1" customHeight="1">
      <c r="A368" s="71"/>
      <c r="B368" s="66"/>
      <c r="C368" s="66"/>
      <c r="D368" s="66"/>
      <c r="E368" s="66"/>
      <c r="F368" s="66"/>
      <c r="G368" s="66"/>
      <c r="H368" s="66"/>
      <c r="I368" s="66"/>
      <c r="J368" s="66"/>
    </row>
    <row r="369" spans="1:10" ht="11.1" customHeight="1">
      <c r="A369" s="71"/>
      <c r="B369" s="66"/>
      <c r="C369" s="66"/>
      <c r="D369" s="66"/>
      <c r="E369" s="66"/>
      <c r="F369" s="66"/>
      <c r="G369" s="66"/>
      <c r="H369" s="66"/>
      <c r="I369" s="66"/>
      <c r="J369" s="66"/>
    </row>
    <row r="370" spans="1:10" ht="11.1" customHeight="1">
      <c r="A370" s="71"/>
      <c r="B370" s="66"/>
      <c r="C370" s="66"/>
      <c r="D370" s="66"/>
      <c r="E370" s="66"/>
      <c r="F370" s="66"/>
      <c r="G370" s="66"/>
      <c r="H370" s="66"/>
      <c r="I370" s="66"/>
      <c r="J370" s="66"/>
    </row>
    <row r="371" spans="1:10" ht="11.1" customHeight="1">
      <c r="A371" s="71"/>
      <c r="B371" s="66"/>
      <c r="C371" s="66"/>
      <c r="D371" s="66"/>
      <c r="E371" s="66"/>
      <c r="F371" s="66"/>
      <c r="G371" s="66"/>
      <c r="H371" s="66"/>
      <c r="I371" s="66"/>
      <c r="J371" s="66"/>
    </row>
    <row r="372" spans="1:10" ht="11.1" customHeight="1">
      <c r="A372" s="71"/>
      <c r="B372" s="66"/>
      <c r="C372" s="66"/>
      <c r="D372" s="66"/>
      <c r="E372" s="66"/>
      <c r="F372" s="66"/>
      <c r="G372" s="66"/>
      <c r="H372" s="66"/>
      <c r="I372" s="66"/>
      <c r="J372" s="66"/>
    </row>
  </sheetData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Intro</vt:lpstr>
      <vt:lpstr>Exhs 18-1-3</vt:lpstr>
      <vt:lpstr>Esaki Data</vt:lpstr>
      <vt:lpstr>Esaki Haz Calcs</vt:lpstr>
      <vt:lpstr>Exh18-4</vt:lpstr>
      <vt:lpstr>Exh18-5</vt:lpstr>
      <vt:lpstr>3yrLoanExmpl</vt:lpstr>
      <vt:lpstr>YldDegr</vt:lpstr>
      <vt:lpstr>ContractCFsExhs1-2</vt:lpstr>
      <vt:lpstr>E(CFs)30yrs</vt:lpstr>
      <vt:lpstr>Exh 18-7</vt:lpstr>
      <vt:lpstr>Exh 18-7b</vt:lpstr>
    </vt:vector>
  </TitlesOfParts>
  <Company>Trepp,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</dc:creator>
  <cp:lastModifiedBy>McLaughlin</cp:lastModifiedBy>
  <dcterms:created xsi:type="dcterms:W3CDTF">2011-08-09T17:20:19Z</dcterms:created>
  <dcterms:modified xsi:type="dcterms:W3CDTF">2013-03-07T22:55:13Z</dcterms:modified>
</cp:coreProperties>
</file>