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20" windowHeight="14370"/>
  </bookViews>
  <sheets>
    <sheet name="Rentleg Plaza" sheetId="4" r:id="rId1"/>
    <sheet name="Cash Flow" sheetId="1" r:id="rId2"/>
    <sheet name="Detailed PV - Unleveraged" sheetId="2" r:id="rId3"/>
    <sheet name="Property Summary" sheetId="3" r:id="rId4"/>
  </sheets>
  <definedNames>
    <definedName name="_xlnm.Print_Area" localSheetId="0">'Rentleg Plaza'!$A$10:$H$42</definedName>
  </definedNames>
  <calcPr calcId="145621"/>
</workbook>
</file>

<file path=xl/calcChain.xml><?xml version="1.0" encoding="utf-8"?>
<calcChain xmlns="http://schemas.openxmlformats.org/spreadsheetml/2006/main">
  <c r="G39" i="4" l="1"/>
  <c r="F39" i="4"/>
  <c r="E39" i="4"/>
  <c r="D39" i="4"/>
  <c r="C39" i="4"/>
  <c r="B39" i="4"/>
  <c r="B37" i="4"/>
  <c r="B40" i="4" s="1"/>
  <c r="G33" i="4"/>
  <c r="E33" i="4"/>
  <c r="C33" i="4"/>
  <c r="F30" i="4"/>
  <c r="D30" i="4"/>
  <c r="E25" i="4"/>
  <c r="G25" i="4" s="1"/>
  <c r="D25" i="4"/>
  <c r="E21" i="4"/>
  <c r="D21" i="4"/>
  <c r="E20" i="4"/>
  <c r="E22" i="4" s="1"/>
  <c r="D20" i="4"/>
  <c r="D22" i="4" s="1"/>
  <c r="C18" i="4"/>
  <c r="D15" i="4"/>
  <c r="H15" i="4" s="1"/>
  <c r="E14" i="4"/>
  <c r="D14" i="4"/>
  <c r="D16" i="4" s="1"/>
  <c r="C14" i="4"/>
  <c r="D11" i="4"/>
  <c r="E11" i="4" s="1"/>
  <c r="F11" i="4" s="1"/>
  <c r="C11" i="4"/>
  <c r="D10" i="4"/>
  <c r="E10" i="4" s="1"/>
  <c r="F10" i="4" s="1"/>
  <c r="G10" i="4" s="1"/>
  <c r="H10" i="4" s="1"/>
  <c r="C10" i="4"/>
  <c r="E16" i="4" l="1"/>
  <c r="E23" i="4" s="1"/>
  <c r="E27" i="4" s="1"/>
  <c r="E35" i="4" s="1"/>
  <c r="E37" i="4" s="1"/>
  <c r="E40" i="4" s="1"/>
  <c r="G21" i="4"/>
  <c r="F17" i="4"/>
  <c r="F14" i="4"/>
  <c r="F31" i="4"/>
  <c r="F33" i="4" s="1"/>
  <c r="G11" i="4"/>
  <c r="H11" i="4" s="1"/>
  <c r="H17" i="4" s="1"/>
  <c r="H25" i="4" s="1"/>
  <c r="D23" i="4"/>
  <c r="D27" i="4" s="1"/>
  <c r="C15" i="4"/>
  <c r="C17" i="4" s="1"/>
  <c r="C25" i="4" s="1"/>
  <c r="E15" i="4"/>
  <c r="G15" i="4"/>
  <c r="D18" i="4"/>
  <c r="D31" i="4" s="1"/>
  <c r="D33" i="4" s="1"/>
  <c r="F25" i="4"/>
  <c r="G20" i="4" s="1"/>
  <c r="G22" i="4" s="1"/>
  <c r="F15" i="4"/>
  <c r="H21" i="4" l="1"/>
  <c r="H20" i="4"/>
  <c r="C21" i="4"/>
  <c r="C20" i="4"/>
  <c r="F16" i="4"/>
  <c r="H14" i="4"/>
  <c r="H16" i="4" s="1"/>
  <c r="G14" i="4"/>
  <c r="G16" i="4" s="1"/>
  <c r="G23" i="4" s="1"/>
  <c r="G27" i="4" s="1"/>
  <c r="G35" i="4" s="1"/>
  <c r="C16" i="4"/>
  <c r="F21" i="4"/>
  <c r="F20" i="4"/>
  <c r="D35" i="4"/>
  <c r="D37" i="4" s="1"/>
  <c r="D40" i="4" s="1"/>
  <c r="F22" i="4" l="1"/>
  <c r="F23" i="4" s="1"/>
  <c r="F27" i="4" s="1"/>
  <c r="F35" i="4" s="1"/>
  <c r="F37" i="4" s="1"/>
  <c r="F40" i="4" s="1"/>
  <c r="C22" i="4"/>
  <c r="C23" i="4" s="1"/>
  <c r="C27" i="4" s="1"/>
  <c r="C35" i="4" s="1"/>
  <c r="H22" i="4"/>
  <c r="H23" i="4" s="1"/>
  <c r="H27" i="4" s="1"/>
  <c r="G36" i="4" s="1"/>
  <c r="G37" i="4" s="1"/>
  <c r="G40" i="4" s="1"/>
  <c r="C37" i="4" l="1"/>
  <c r="F6" i="4"/>
  <c r="C42" i="4" l="1"/>
  <c r="F3" i="4" s="1"/>
  <c r="C40" i="4"/>
  <c r="F4" i="4"/>
  <c r="C41" i="4" l="1"/>
  <c r="F7" i="4"/>
  <c r="F5" i="4"/>
  <c r="D41" i="4" l="1"/>
  <c r="E41" i="4" s="1"/>
  <c r="F41" i="4" s="1"/>
  <c r="G41" i="4" s="1"/>
  <c r="F8" i="4" l="1"/>
</calcChain>
</file>

<file path=xl/sharedStrings.xml><?xml version="1.0" encoding="utf-8"?>
<sst xmlns="http://schemas.openxmlformats.org/spreadsheetml/2006/main" count="253" uniqueCount="154">
  <si>
    <t>Rentleg Plaza</t>
  </si>
  <si>
    <t>Software: ARGUS Trial Unit Sales Ver. 15.0.1.26</t>
  </si>
  <si>
    <t>File: Rentleg</t>
  </si>
  <si>
    <t>Property Type: Office/Industrial</t>
  </si>
  <si>
    <t>Portfolio:</t>
  </si>
  <si>
    <t>Date: 11/21/12</t>
  </si>
  <si>
    <t>Time: 15:12</t>
  </si>
  <si>
    <t>Ref#: ABN</t>
  </si>
  <si>
    <t>Page: 1</t>
  </si>
  <si>
    <t>Schedule Of Prospective Cash Flow</t>
  </si>
  <si>
    <t>In Inflated Dollars for the Fiscal Year Beginning 1/1/2000</t>
  </si>
  <si>
    <t xml:space="preserve">     Year  1</t>
  </si>
  <si>
    <t xml:space="preserve">     Year  2</t>
  </si>
  <si>
    <t xml:space="preserve">     Year  3</t>
  </si>
  <si>
    <t xml:space="preserve">     Year  4</t>
  </si>
  <si>
    <t xml:space="preserve">     Year  5</t>
  </si>
  <si>
    <t xml:space="preserve">     Year  6</t>
  </si>
  <si>
    <t>For the Years Ending</t>
  </si>
  <si>
    <t xml:space="preserve">    Dec-2000</t>
  </si>
  <si>
    <t xml:space="preserve">    Dec-2001</t>
  </si>
  <si>
    <t xml:space="preserve">    Dec-2002</t>
  </si>
  <si>
    <t xml:space="preserve">    Dec-2003</t>
  </si>
  <si>
    <t xml:space="preserve">    Dec-2004</t>
  </si>
  <si>
    <t xml:space="preserve">    Dec-2005</t>
  </si>
  <si>
    <t xml:space="preserve"> ___________</t>
  </si>
  <si>
    <t>Potential Gross Revenue</t>
  </si>
  <si>
    <t xml:space="preserve">  Base Rental Revenue</t>
  </si>
  <si>
    <t xml:space="preserve">  Absorption &amp; Turnover Vacancy</t>
  </si>
  <si>
    <t xml:space="preserve">  Base Rent Abatements</t>
  </si>
  <si>
    <t xml:space="preserve">  Scheduled Base Rental Revenue</t>
  </si>
  <si>
    <t xml:space="preserve">  Expense Reimbursement Revenue</t>
  </si>
  <si>
    <t xml:space="preserve">    General Expenses</t>
  </si>
  <si>
    <t xml:space="preserve">  Total Reimbursement Revenue</t>
  </si>
  <si>
    <t>Total Potential Gross Revenue</t>
  </si>
  <si>
    <t>Effective Gross Revenue</t>
  </si>
  <si>
    <t>Operating Expenses</t>
  </si>
  <si>
    <t xml:space="preserve">  General Expenses</t>
  </si>
  <si>
    <t>Total Operating Expenses</t>
  </si>
  <si>
    <t>Net Operating Income</t>
  </si>
  <si>
    <t>Leasing &amp; Capital Costs</t>
  </si>
  <si>
    <t xml:space="preserve">  Tenant Improvements</t>
  </si>
  <si>
    <t xml:space="preserve">  Leasing Commissions</t>
  </si>
  <si>
    <t xml:space="preserve">  Capital Expenditures</t>
  </si>
  <si>
    <t>Total Leasing &amp; Capital Costs</t>
  </si>
  <si>
    <t>Cash Flow Before Debt Service</t>
  </si>
  <si>
    <t>&amp; Taxes</t>
  </si>
  <si>
    <t xml:space="preserve"> ===========</t>
  </si>
  <si>
    <t>Page: 2</t>
  </si>
  <si>
    <t>Prospective Present Value</t>
  </si>
  <si>
    <t>Cash Flow Before Debt Service plus Property Resale</t>
  </si>
  <si>
    <t>Discounted Annually (Endpoint on Cash Flow &amp; Resale) over a 5-Year Period</t>
  </si>
  <si>
    <t xml:space="preserve">                      For the</t>
  </si>
  <si>
    <t xml:space="preserve">    P.V. of</t>
  </si>
  <si>
    <t>Analysis           Year</t>
  </si>
  <si>
    <t xml:space="preserve">     Annual</t>
  </si>
  <si>
    <t xml:space="preserve">   Cash Flow</t>
  </si>
  <si>
    <t xml:space="preserve"> Period           Ending</t>
  </si>
  <si>
    <t xml:space="preserve">    @ 12.00%</t>
  </si>
  <si>
    <t>________    ________</t>
  </si>
  <si>
    <t xml:space="preserve">  Year  1   Dec-2000</t>
  </si>
  <si>
    <t xml:space="preserve">  Year  2   Dec-2001</t>
  </si>
  <si>
    <t xml:space="preserve">  Year  3   Dec-2002</t>
  </si>
  <si>
    <t xml:space="preserve">  Year  4   Dec-2003</t>
  </si>
  <si>
    <t xml:space="preserve">  Year  5   Dec-2004</t>
  </si>
  <si>
    <t xml:space="preserve">  Total Cash Flow</t>
  </si>
  <si>
    <t xml:space="preserve">  Property Resale @ 10% Cap Rate</t>
  </si>
  <si>
    <t xml:space="preserve">  Total Property Present Value</t>
  </si>
  <si>
    <t xml:space="preserve">  Rounded to Thousands</t>
  </si>
  <si>
    <t xml:space="preserve">  Per SqFt</t>
  </si>
  <si>
    <t>Percentage Value Distribution</t>
  </si>
  <si>
    <t xml:space="preserve">  Assured Income</t>
  </si>
  <si>
    <t xml:space="preserve">  Prospective Income</t>
  </si>
  <si>
    <t xml:space="preserve">  Prospective Property Resale</t>
  </si>
  <si>
    <t>Page: 3</t>
  </si>
  <si>
    <t>Property Summary Report</t>
  </si>
  <si>
    <t>Timing &amp; Inflation</t>
  </si>
  <si>
    <t xml:space="preserve">    Reporting Period:</t>
  </si>
  <si>
    <t>January 1, 2000 to December 31, 2004; 5 years</t>
  </si>
  <si>
    <t xml:space="preserve">    Inflation Month:</t>
  </si>
  <si>
    <t>Analysis Start</t>
  </si>
  <si>
    <t xml:space="preserve">    General Inflation Rate:</t>
  </si>
  <si>
    <t>Property Size &amp; Occupancy</t>
  </si>
  <si>
    <t xml:space="preserve">    Property Size:</t>
  </si>
  <si>
    <t>30,000 Square Feet</t>
  </si>
  <si>
    <t xml:space="preserve">    Alternate Size:</t>
  </si>
  <si>
    <t>1 Square Foot</t>
  </si>
  <si>
    <t xml:space="preserve">    Number of rent roll tenants:</t>
  </si>
  <si>
    <t xml:space="preserve">    Total Occupied Area:</t>
  </si>
  <si>
    <t>20,000 Square Feet, 66.67%, during first month of analysis</t>
  </si>
  <si>
    <t>Space Absorption</t>
  </si>
  <si>
    <t xml:space="preserve">    Suite 200</t>
  </si>
  <si>
    <t>10,000 Square Feet, leasing from 1/01 to 1/01</t>
  </si>
  <si>
    <t>1 lease per year, 10,000 SqFt per lease</t>
  </si>
  <si>
    <t>Property Purchase &amp; Resale</t>
  </si>
  <si>
    <t xml:space="preserve">    Purchase Price:</t>
  </si>
  <si>
    <t>-</t>
  </si>
  <si>
    <t xml:space="preserve">    Resale Method:</t>
  </si>
  <si>
    <t>Capitalize Net Operating Income</t>
  </si>
  <si>
    <t xml:space="preserve">    Cap Rate:</t>
  </si>
  <si>
    <t xml:space="preserve">    Cap Year:</t>
  </si>
  <si>
    <t>Year 6</t>
  </si>
  <si>
    <t xml:space="preserve">    Commission/Closing Cost:</t>
  </si>
  <si>
    <t xml:space="preserve">    Net Cash Flow from Sale:</t>
  </si>
  <si>
    <t>Present Value Discounting</t>
  </si>
  <si>
    <t xml:space="preserve">    Discount Method:</t>
  </si>
  <si>
    <t>Annually (Endpoint on Cash Flow &amp; Resale)</t>
  </si>
  <si>
    <t xml:space="preserve">    Unleveraged Discount Rate:</t>
  </si>
  <si>
    <t xml:space="preserve">    Unleveraged Present Value:</t>
  </si>
  <si>
    <t>$2,292,811 at 12.00%</t>
  </si>
  <si>
    <t>Rentleg Plaza Office Bldg Example</t>
  </si>
  <si>
    <t>Input Assumptions...</t>
  </si>
  <si>
    <t>Output Measures...</t>
  </si>
  <si>
    <t>Current Mkt Rent</t>
  </si>
  <si>
    <t>Price=</t>
  </si>
  <si>
    <t>NPV=</t>
  </si>
  <si>
    <t>Rent Growth Rate</t>
  </si>
  <si>
    <t>Rent Spike 2004 Pct</t>
  </si>
  <si>
    <t>PropIRR=</t>
  </si>
  <si>
    <t>Initial Expense (full)</t>
  </si>
  <si>
    <t>Renewal Probability</t>
  </si>
  <si>
    <t>EqIRR=</t>
  </si>
  <si>
    <t>Expense Growth Rate</t>
  </si>
  <si>
    <t>Initial Vacancy Mo.s St.200</t>
  </si>
  <si>
    <t>Min PBTCF/Yr=</t>
  </si>
  <si>
    <t>Loan Amount</t>
  </si>
  <si>
    <t>Renewal Vacancy Mo.s St.100</t>
  </si>
  <si>
    <t>Min EBTCF/Yr=</t>
  </si>
  <si>
    <t>Loan Interest</t>
  </si>
  <si>
    <t>Discount Rate</t>
  </si>
  <si>
    <t>Min Cumltv Oper EBTCF</t>
  </si>
  <si>
    <t>Year:</t>
  </si>
  <si>
    <t>Market Rent</t>
  </si>
  <si>
    <t>Potential Gross Revenue:</t>
  </si>
  <si>
    <t xml:space="preserve">   Rent Roll:</t>
  </si>
  <si>
    <t xml:space="preserve">      Suite 100</t>
  </si>
  <si>
    <t xml:space="preserve">      Suite 200</t>
  </si>
  <si>
    <t xml:space="preserve">      Total</t>
  </si>
  <si>
    <t xml:space="preserve">   Vacancy</t>
  </si>
  <si>
    <t xml:space="preserve">   Abatements</t>
  </si>
  <si>
    <t xml:space="preserve">   Reimbursements:</t>
  </si>
  <si>
    <t>Total Revenue</t>
  </si>
  <si>
    <t>NOI:</t>
  </si>
  <si>
    <t>Leasing &amp; Capital Expenditures:</t>
  </si>
  <si>
    <t xml:space="preserve">   Tenant Improvements</t>
  </si>
  <si>
    <t xml:space="preserve">   Commissions</t>
  </si>
  <si>
    <t xml:space="preserve">   Capital Expenditures</t>
  </si>
  <si>
    <t xml:space="preserve">   Total</t>
  </si>
  <si>
    <t>Operating PBTCF</t>
  </si>
  <si>
    <t>Reversion</t>
  </si>
  <si>
    <t>PBTCF</t>
  </si>
  <si>
    <t>Debt Cash Flow</t>
  </si>
  <si>
    <t>Equity Cash Flow</t>
  </si>
  <si>
    <t>Cumltv EBTCF</t>
  </si>
  <si>
    <t>Present Value @12%: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</si>
</sst>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7" formatCode="&quot;$&quot;#,##0.00_);\(&quot;$&quot;#,##0.00\)"/>
    <numFmt numFmtId="164" formatCode="General_)"/>
  </numFmts>
  <fonts count="4">
    <font>
      <sz val="12"/>
      <color theme="1"/>
      <name val="Times New Roman"/>
      <family val="2"/>
    </font>
    <font>
      <sz val="8"/>
      <color theme="1"/>
      <name val="Arial"/>
      <family val="2"/>
    </font>
    <font>
      <sz val="12"/>
      <name val="Arial MT"/>
    </font>
    <font>
      <sz val="9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5" fontId="1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left"/>
    </xf>
    <xf numFmtId="37" fontId="1" fillId="0" borderId="0" xfId="0" applyNumberFormat="1" applyFont="1" applyAlignment="1">
      <alignment horizontal="left"/>
    </xf>
    <xf numFmtId="5" fontId="1" fillId="0" borderId="0" xfId="0" applyNumberFormat="1" applyFont="1" applyAlignment="1">
      <alignment horizontal="left"/>
    </xf>
    <xf numFmtId="164" fontId="3" fillId="0" borderId="0" xfId="1" applyFont="1"/>
    <xf numFmtId="7" fontId="3" fillId="0" borderId="0" xfId="1" applyNumberFormat="1" applyFont="1" applyAlignment="1">
      <alignment horizontal="left"/>
    </xf>
    <xf numFmtId="5" fontId="3" fillId="0" borderId="0" xfId="1" applyNumberFormat="1" applyFont="1" applyAlignment="1">
      <alignment horizontal="left"/>
    </xf>
    <xf numFmtId="10" fontId="3" fillId="0" borderId="0" xfId="1" applyNumberFormat="1" applyFont="1" applyAlignment="1">
      <alignment horizontal="left"/>
    </xf>
    <xf numFmtId="164" fontId="3" fillId="0" borderId="0" xfId="1" quotePrefix="1" applyFont="1" applyAlignment="1">
      <alignment horizontal="left"/>
    </xf>
    <xf numFmtId="164" fontId="3" fillId="0" borderId="0" xfId="1" applyFont="1" applyAlignment="1">
      <alignment horizontal="left"/>
    </xf>
    <xf numFmtId="10" fontId="3" fillId="0" borderId="0" xfId="1" applyNumberFormat="1" applyFont="1"/>
    <xf numFmtId="10" fontId="3" fillId="0" borderId="0" xfId="1" quotePrefix="1" applyNumberFormat="1" applyFont="1" applyAlignment="1">
      <alignment horizontal="left"/>
    </xf>
    <xf numFmtId="164" fontId="3" fillId="0" borderId="0" xfId="1" quotePrefix="1" applyFont="1" applyAlignment="1">
      <alignment horizontal="right"/>
    </xf>
    <xf numFmtId="7" fontId="3" fillId="0" borderId="0" xfId="1" applyNumberFormat="1" applyFont="1" applyProtection="1"/>
    <xf numFmtId="5" fontId="3" fillId="0" borderId="0" xfId="1" applyNumberFormat="1" applyFont="1" applyProtection="1"/>
    <xf numFmtId="5" fontId="3" fillId="0" borderId="0" xfId="1" applyNumberFormat="1" applyFont="1" applyAlignment="1">
      <alignment horizontal="right"/>
    </xf>
    <xf numFmtId="5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PROGRA~1\ARGUSS~1\TRIAL\ARLOGO1.S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C:\PROGRA~1\ARGUSS~1\TRIAL\ARLOGO1.SF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C:\PROGRA~1\ARGUSS~1\TRIAL\ARLOGO1.SF" TargetMode="Externa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1097561</xdr:colOff>
      <xdr:row>3</xdr:row>
      <xdr:rowOff>89668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561" cy="518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1097561</xdr:colOff>
      <xdr:row>3</xdr:row>
      <xdr:rowOff>89668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561" cy="5182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1097561</xdr:colOff>
      <xdr:row>3</xdr:row>
      <xdr:rowOff>89668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7561" cy="518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2"/>
  <sheetViews>
    <sheetView showGridLines="0" tabSelected="1" workbookViewId="0"/>
  </sheetViews>
  <sheetFormatPr defaultColWidth="11" defaultRowHeight="12"/>
  <cols>
    <col min="1" max="1" width="15.875" style="12" customWidth="1"/>
    <col min="2" max="2" width="11" style="12"/>
    <col min="3" max="3" width="15.125" style="12" customWidth="1"/>
    <col min="4" max="256" width="11" style="12"/>
    <col min="257" max="257" width="15.875" style="12" customWidth="1"/>
    <col min="258" max="258" width="11" style="12"/>
    <col min="259" max="259" width="15.125" style="12" customWidth="1"/>
    <col min="260" max="512" width="11" style="12"/>
    <col min="513" max="513" width="15.875" style="12" customWidth="1"/>
    <col min="514" max="514" width="11" style="12"/>
    <col min="515" max="515" width="15.125" style="12" customWidth="1"/>
    <col min="516" max="768" width="11" style="12"/>
    <col min="769" max="769" width="15.875" style="12" customWidth="1"/>
    <col min="770" max="770" width="11" style="12"/>
    <col min="771" max="771" width="15.125" style="12" customWidth="1"/>
    <col min="772" max="1024" width="11" style="12"/>
    <col min="1025" max="1025" width="15.875" style="12" customWidth="1"/>
    <col min="1026" max="1026" width="11" style="12"/>
    <col min="1027" max="1027" width="15.125" style="12" customWidth="1"/>
    <col min="1028" max="1280" width="11" style="12"/>
    <col min="1281" max="1281" width="15.875" style="12" customWidth="1"/>
    <col min="1282" max="1282" width="11" style="12"/>
    <col min="1283" max="1283" width="15.125" style="12" customWidth="1"/>
    <col min="1284" max="1536" width="11" style="12"/>
    <col min="1537" max="1537" width="15.875" style="12" customWidth="1"/>
    <col min="1538" max="1538" width="11" style="12"/>
    <col min="1539" max="1539" width="15.125" style="12" customWidth="1"/>
    <col min="1540" max="1792" width="11" style="12"/>
    <col min="1793" max="1793" width="15.875" style="12" customWidth="1"/>
    <col min="1794" max="1794" width="11" style="12"/>
    <col min="1795" max="1795" width="15.125" style="12" customWidth="1"/>
    <col min="1796" max="2048" width="11" style="12"/>
    <col min="2049" max="2049" width="15.875" style="12" customWidth="1"/>
    <col min="2050" max="2050" width="11" style="12"/>
    <col min="2051" max="2051" width="15.125" style="12" customWidth="1"/>
    <col min="2052" max="2304" width="11" style="12"/>
    <col min="2305" max="2305" width="15.875" style="12" customWidth="1"/>
    <col min="2306" max="2306" width="11" style="12"/>
    <col min="2307" max="2307" width="15.125" style="12" customWidth="1"/>
    <col min="2308" max="2560" width="11" style="12"/>
    <col min="2561" max="2561" width="15.875" style="12" customWidth="1"/>
    <col min="2562" max="2562" width="11" style="12"/>
    <col min="2563" max="2563" width="15.125" style="12" customWidth="1"/>
    <col min="2564" max="2816" width="11" style="12"/>
    <col min="2817" max="2817" width="15.875" style="12" customWidth="1"/>
    <col min="2818" max="2818" width="11" style="12"/>
    <col min="2819" max="2819" width="15.125" style="12" customWidth="1"/>
    <col min="2820" max="3072" width="11" style="12"/>
    <col min="3073" max="3073" width="15.875" style="12" customWidth="1"/>
    <col min="3074" max="3074" width="11" style="12"/>
    <col min="3075" max="3075" width="15.125" style="12" customWidth="1"/>
    <col min="3076" max="3328" width="11" style="12"/>
    <col min="3329" max="3329" width="15.875" style="12" customWidth="1"/>
    <col min="3330" max="3330" width="11" style="12"/>
    <col min="3331" max="3331" width="15.125" style="12" customWidth="1"/>
    <col min="3332" max="3584" width="11" style="12"/>
    <col min="3585" max="3585" width="15.875" style="12" customWidth="1"/>
    <col min="3586" max="3586" width="11" style="12"/>
    <col min="3587" max="3587" width="15.125" style="12" customWidth="1"/>
    <col min="3588" max="3840" width="11" style="12"/>
    <col min="3841" max="3841" width="15.875" style="12" customWidth="1"/>
    <col min="3842" max="3842" width="11" style="12"/>
    <col min="3843" max="3843" width="15.125" style="12" customWidth="1"/>
    <col min="3844" max="4096" width="11" style="12"/>
    <col min="4097" max="4097" width="15.875" style="12" customWidth="1"/>
    <col min="4098" max="4098" width="11" style="12"/>
    <col min="4099" max="4099" width="15.125" style="12" customWidth="1"/>
    <col min="4100" max="4352" width="11" style="12"/>
    <col min="4353" max="4353" width="15.875" style="12" customWidth="1"/>
    <col min="4354" max="4354" width="11" style="12"/>
    <col min="4355" max="4355" width="15.125" style="12" customWidth="1"/>
    <col min="4356" max="4608" width="11" style="12"/>
    <col min="4609" max="4609" width="15.875" style="12" customWidth="1"/>
    <col min="4610" max="4610" width="11" style="12"/>
    <col min="4611" max="4611" width="15.125" style="12" customWidth="1"/>
    <col min="4612" max="4864" width="11" style="12"/>
    <col min="4865" max="4865" width="15.875" style="12" customWidth="1"/>
    <col min="4866" max="4866" width="11" style="12"/>
    <col min="4867" max="4867" width="15.125" style="12" customWidth="1"/>
    <col min="4868" max="5120" width="11" style="12"/>
    <col min="5121" max="5121" width="15.875" style="12" customWidth="1"/>
    <col min="5122" max="5122" width="11" style="12"/>
    <col min="5123" max="5123" width="15.125" style="12" customWidth="1"/>
    <col min="5124" max="5376" width="11" style="12"/>
    <col min="5377" max="5377" width="15.875" style="12" customWidth="1"/>
    <col min="5378" max="5378" width="11" style="12"/>
    <col min="5379" max="5379" width="15.125" style="12" customWidth="1"/>
    <col min="5380" max="5632" width="11" style="12"/>
    <col min="5633" max="5633" width="15.875" style="12" customWidth="1"/>
    <col min="5634" max="5634" width="11" style="12"/>
    <col min="5635" max="5635" width="15.125" style="12" customWidth="1"/>
    <col min="5636" max="5888" width="11" style="12"/>
    <col min="5889" max="5889" width="15.875" style="12" customWidth="1"/>
    <col min="5890" max="5890" width="11" style="12"/>
    <col min="5891" max="5891" width="15.125" style="12" customWidth="1"/>
    <col min="5892" max="6144" width="11" style="12"/>
    <col min="6145" max="6145" width="15.875" style="12" customWidth="1"/>
    <col min="6146" max="6146" width="11" style="12"/>
    <col min="6147" max="6147" width="15.125" style="12" customWidth="1"/>
    <col min="6148" max="6400" width="11" style="12"/>
    <col min="6401" max="6401" width="15.875" style="12" customWidth="1"/>
    <col min="6402" max="6402" width="11" style="12"/>
    <col min="6403" max="6403" width="15.125" style="12" customWidth="1"/>
    <col min="6404" max="6656" width="11" style="12"/>
    <col min="6657" max="6657" width="15.875" style="12" customWidth="1"/>
    <col min="6658" max="6658" width="11" style="12"/>
    <col min="6659" max="6659" width="15.125" style="12" customWidth="1"/>
    <col min="6660" max="6912" width="11" style="12"/>
    <col min="6913" max="6913" width="15.875" style="12" customWidth="1"/>
    <col min="6914" max="6914" width="11" style="12"/>
    <col min="6915" max="6915" width="15.125" style="12" customWidth="1"/>
    <col min="6916" max="7168" width="11" style="12"/>
    <col min="7169" max="7169" width="15.875" style="12" customWidth="1"/>
    <col min="7170" max="7170" width="11" style="12"/>
    <col min="7171" max="7171" width="15.125" style="12" customWidth="1"/>
    <col min="7172" max="7424" width="11" style="12"/>
    <col min="7425" max="7425" width="15.875" style="12" customWidth="1"/>
    <col min="7426" max="7426" width="11" style="12"/>
    <col min="7427" max="7427" width="15.125" style="12" customWidth="1"/>
    <col min="7428" max="7680" width="11" style="12"/>
    <col min="7681" max="7681" width="15.875" style="12" customWidth="1"/>
    <col min="7682" max="7682" width="11" style="12"/>
    <col min="7683" max="7683" width="15.125" style="12" customWidth="1"/>
    <col min="7684" max="7936" width="11" style="12"/>
    <col min="7937" max="7937" width="15.875" style="12" customWidth="1"/>
    <col min="7938" max="7938" width="11" style="12"/>
    <col min="7939" max="7939" width="15.125" style="12" customWidth="1"/>
    <col min="7940" max="8192" width="11" style="12"/>
    <col min="8193" max="8193" width="15.875" style="12" customWidth="1"/>
    <col min="8194" max="8194" width="11" style="12"/>
    <col min="8195" max="8195" width="15.125" style="12" customWidth="1"/>
    <col min="8196" max="8448" width="11" style="12"/>
    <col min="8449" max="8449" width="15.875" style="12" customWidth="1"/>
    <col min="8450" max="8450" width="11" style="12"/>
    <col min="8451" max="8451" width="15.125" style="12" customWidth="1"/>
    <col min="8452" max="8704" width="11" style="12"/>
    <col min="8705" max="8705" width="15.875" style="12" customWidth="1"/>
    <col min="8706" max="8706" width="11" style="12"/>
    <col min="8707" max="8707" width="15.125" style="12" customWidth="1"/>
    <col min="8708" max="8960" width="11" style="12"/>
    <col min="8961" max="8961" width="15.875" style="12" customWidth="1"/>
    <col min="8962" max="8962" width="11" style="12"/>
    <col min="8963" max="8963" width="15.125" style="12" customWidth="1"/>
    <col min="8964" max="9216" width="11" style="12"/>
    <col min="9217" max="9217" width="15.875" style="12" customWidth="1"/>
    <col min="9218" max="9218" width="11" style="12"/>
    <col min="9219" max="9219" width="15.125" style="12" customWidth="1"/>
    <col min="9220" max="9472" width="11" style="12"/>
    <col min="9473" max="9473" width="15.875" style="12" customWidth="1"/>
    <col min="9474" max="9474" width="11" style="12"/>
    <col min="9475" max="9475" width="15.125" style="12" customWidth="1"/>
    <col min="9476" max="9728" width="11" style="12"/>
    <col min="9729" max="9729" width="15.875" style="12" customWidth="1"/>
    <col min="9730" max="9730" width="11" style="12"/>
    <col min="9731" max="9731" width="15.125" style="12" customWidth="1"/>
    <col min="9732" max="9984" width="11" style="12"/>
    <col min="9985" max="9985" width="15.875" style="12" customWidth="1"/>
    <col min="9986" max="9986" width="11" style="12"/>
    <col min="9987" max="9987" width="15.125" style="12" customWidth="1"/>
    <col min="9988" max="10240" width="11" style="12"/>
    <col min="10241" max="10241" width="15.875" style="12" customWidth="1"/>
    <col min="10242" max="10242" width="11" style="12"/>
    <col min="10243" max="10243" width="15.125" style="12" customWidth="1"/>
    <col min="10244" max="10496" width="11" style="12"/>
    <col min="10497" max="10497" width="15.875" style="12" customWidth="1"/>
    <col min="10498" max="10498" width="11" style="12"/>
    <col min="10499" max="10499" width="15.125" style="12" customWidth="1"/>
    <col min="10500" max="10752" width="11" style="12"/>
    <col min="10753" max="10753" width="15.875" style="12" customWidth="1"/>
    <col min="10754" max="10754" width="11" style="12"/>
    <col min="10755" max="10755" width="15.125" style="12" customWidth="1"/>
    <col min="10756" max="11008" width="11" style="12"/>
    <col min="11009" max="11009" width="15.875" style="12" customWidth="1"/>
    <col min="11010" max="11010" width="11" style="12"/>
    <col min="11011" max="11011" width="15.125" style="12" customWidth="1"/>
    <col min="11012" max="11264" width="11" style="12"/>
    <col min="11265" max="11265" width="15.875" style="12" customWidth="1"/>
    <col min="11266" max="11266" width="11" style="12"/>
    <col min="11267" max="11267" width="15.125" style="12" customWidth="1"/>
    <col min="11268" max="11520" width="11" style="12"/>
    <col min="11521" max="11521" width="15.875" style="12" customWidth="1"/>
    <col min="11522" max="11522" width="11" style="12"/>
    <col min="11523" max="11523" width="15.125" style="12" customWidth="1"/>
    <col min="11524" max="11776" width="11" style="12"/>
    <col min="11777" max="11777" width="15.875" style="12" customWidth="1"/>
    <col min="11778" max="11778" width="11" style="12"/>
    <col min="11779" max="11779" width="15.125" style="12" customWidth="1"/>
    <col min="11780" max="12032" width="11" style="12"/>
    <col min="12033" max="12033" width="15.875" style="12" customWidth="1"/>
    <col min="12034" max="12034" width="11" style="12"/>
    <col min="12035" max="12035" width="15.125" style="12" customWidth="1"/>
    <col min="12036" max="12288" width="11" style="12"/>
    <col min="12289" max="12289" width="15.875" style="12" customWidth="1"/>
    <col min="12290" max="12290" width="11" style="12"/>
    <col min="12291" max="12291" width="15.125" style="12" customWidth="1"/>
    <col min="12292" max="12544" width="11" style="12"/>
    <col min="12545" max="12545" width="15.875" style="12" customWidth="1"/>
    <col min="12546" max="12546" width="11" style="12"/>
    <col min="12547" max="12547" width="15.125" style="12" customWidth="1"/>
    <col min="12548" max="12800" width="11" style="12"/>
    <col min="12801" max="12801" width="15.875" style="12" customWidth="1"/>
    <col min="12802" max="12802" width="11" style="12"/>
    <col min="12803" max="12803" width="15.125" style="12" customWidth="1"/>
    <col min="12804" max="13056" width="11" style="12"/>
    <col min="13057" max="13057" width="15.875" style="12" customWidth="1"/>
    <col min="13058" max="13058" width="11" style="12"/>
    <col min="13059" max="13059" width="15.125" style="12" customWidth="1"/>
    <col min="13060" max="13312" width="11" style="12"/>
    <col min="13313" max="13313" width="15.875" style="12" customWidth="1"/>
    <col min="13314" max="13314" width="11" style="12"/>
    <col min="13315" max="13315" width="15.125" style="12" customWidth="1"/>
    <col min="13316" max="13568" width="11" style="12"/>
    <col min="13569" max="13569" width="15.875" style="12" customWidth="1"/>
    <col min="13570" max="13570" width="11" style="12"/>
    <col min="13571" max="13571" width="15.125" style="12" customWidth="1"/>
    <col min="13572" max="13824" width="11" style="12"/>
    <col min="13825" max="13825" width="15.875" style="12" customWidth="1"/>
    <col min="13826" max="13826" width="11" style="12"/>
    <col min="13827" max="13827" width="15.125" style="12" customWidth="1"/>
    <col min="13828" max="14080" width="11" style="12"/>
    <col min="14081" max="14081" width="15.875" style="12" customWidth="1"/>
    <col min="14082" max="14082" width="11" style="12"/>
    <col min="14083" max="14083" width="15.125" style="12" customWidth="1"/>
    <col min="14084" max="14336" width="11" style="12"/>
    <col min="14337" max="14337" width="15.875" style="12" customWidth="1"/>
    <col min="14338" max="14338" width="11" style="12"/>
    <col min="14339" max="14339" width="15.125" style="12" customWidth="1"/>
    <col min="14340" max="14592" width="11" style="12"/>
    <col min="14593" max="14593" width="15.875" style="12" customWidth="1"/>
    <col min="14594" max="14594" width="11" style="12"/>
    <col min="14595" max="14595" width="15.125" style="12" customWidth="1"/>
    <col min="14596" max="14848" width="11" style="12"/>
    <col min="14849" max="14849" width="15.875" style="12" customWidth="1"/>
    <col min="14850" max="14850" width="11" style="12"/>
    <col min="14851" max="14851" width="15.125" style="12" customWidth="1"/>
    <col min="14852" max="15104" width="11" style="12"/>
    <col min="15105" max="15105" width="15.875" style="12" customWidth="1"/>
    <col min="15106" max="15106" width="11" style="12"/>
    <col min="15107" max="15107" width="15.125" style="12" customWidth="1"/>
    <col min="15108" max="15360" width="11" style="12"/>
    <col min="15361" max="15361" width="15.875" style="12" customWidth="1"/>
    <col min="15362" max="15362" width="11" style="12"/>
    <col min="15363" max="15363" width="15.125" style="12" customWidth="1"/>
    <col min="15364" max="15616" width="11" style="12"/>
    <col min="15617" max="15617" width="15.875" style="12" customWidth="1"/>
    <col min="15618" max="15618" width="11" style="12"/>
    <col min="15619" max="15619" width="15.125" style="12" customWidth="1"/>
    <col min="15620" max="15872" width="11" style="12"/>
    <col min="15873" max="15873" width="15.875" style="12" customWidth="1"/>
    <col min="15874" max="15874" width="11" style="12"/>
    <col min="15875" max="15875" width="15.125" style="12" customWidth="1"/>
    <col min="15876" max="16128" width="11" style="12"/>
    <col min="16129" max="16129" width="15.875" style="12" customWidth="1"/>
    <col min="16130" max="16130" width="11" style="12"/>
    <col min="16131" max="16131" width="15.125" style="12" customWidth="1"/>
    <col min="16132" max="16384" width="11" style="12"/>
  </cols>
  <sheetData>
    <row r="1" spans="1:8">
      <c r="A1" s="12" t="s">
        <v>109</v>
      </c>
    </row>
    <row r="2" spans="1:8">
      <c r="A2" s="12" t="s">
        <v>110</v>
      </c>
      <c r="E2" s="12" t="s">
        <v>111</v>
      </c>
    </row>
    <row r="3" spans="1:8">
      <c r="A3" s="12" t="s">
        <v>112</v>
      </c>
      <c r="B3" s="13">
        <v>14</v>
      </c>
      <c r="C3" s="12" t="s">
        <v>113</v>
      </c>
      <c r="D3" s="14">
        <v>2200000</v>
      </c>
      <c r="E3" s="12" t="s">
        <v>114</v>
      </c>
      <c r="F3" s="14">
        <f>+C42-D3</f>
        <v>92810.176340602338</v>
      </c>
    </row>
    <row r="4" spans="1:8">
      <c r="A4" s="12" t="s">
        <v>115</v>
      </c>
      <c r="B4" s="15">
        <v>0</v>
      </c>
      <c r="C4" s="12" t="s">
        <v>116</v>
      </c>
      <c r="D4" s="15">
        <v>0.2</v>
      </c>
      <c r="E4" s="16" t="s">
        <v>117</v>
      </c>
      <c r="F4" s="15">
        <f>IRR(B37:G37,0.1)</f>
        <v>0.13031487028301103</v>
      </c>
    </row>
    <row r="5" spans="1:8">
      <c r="A5" s="12" t="s">
        <v>118</v>
      </c>
      <c r="B5" s="13">
        <v>4.8099999999999996</v>
      </c>
      <c r="C5" s="12" t="s">
        <v>119</v>
      </c>
      <c r="D5" s="15">
        <v>0.5</v>
      </c>
      <c r="E5" s="12" t="s">
        <v>120</v>
      </c>
      <c r="F5" s="15">
        <f>IRR(B40:G40,0.1)</f>
        <v>0.13031487028301103</v>
      </c>
    </row>
    <row r="6" spans="1:8">
      <c r="A6" s="12" t="s">
        <v>121</v>
      </c>
      <c r="B6" s="15">
        <v>0.04</v>
      </c>
      <c r="C6" s="16" t="s">
        <v>122</v>
      </c>
      <c r="D6" s="17">
        <v>12</v>
      </c>
      <c r="E6" s="16" t="s">
        <v>123</v>
      </c>
      <c r="F6" s="14">
        <f>MINA(C35:G35)</f>
        <v>1614.7938986666559</v>
      </c>
    </row>
    <row r="7" spans="1:8">
      <c r="A7" s="12" t="s">
        <v>124</v>
      </c>
      <c r="B7" s="14">
        <v>0</v>
      </c>
      <c r="C7" s="16" t="s">
        <v>125</v>
      </c>
      <c r="D7" s="17">
        <v>6</v>
      </c>
      <c r="E7" s="12" t="s">
        <v>126</v>
      </c>
      <c r="F7" s="14">
        <f>MINA(C40:G40)</f>
        <v>1614.7938986666559</v>
      </c>
    </row>
    <row r="8" spans="1:8">
      <c r="A8" s="12" t="s">
        <v>127</v>
      </c>
      <c r="B8" s="15">
        <v>0.09</v>
      </c>
      <c r="C8" s="18" t="s">
        <v>128</v>
      </c>
      <c r="D8" s="19">
        <v>0.12</v>
      </c>
      <c r="E8" s="12" t="s">
        <v>129</v>
      </c>
      <c r="F8" s="14">
        <f>MINA(C41:G41)</f>
        <v>144946.33333333331</v>
      </c>
    </row>
    <row r="10" spans="1:8">
      <c r="A10" s="20" t="s">
        <v>130</v>
      </c>
      <c r="B10" s="20">
        <v>1999</v>
      </c>
      <c r="C10" s="12">
        <f t="shared" ref="C10:H10" si="0">1+B10</f>
        <v>2000</v>
      </c>
      <c r="D10" s="12">
        <f t="shared" si="0"/>
        <v>2001</v>
      </c>
      <c r="E10" s="12">
        <f t="shared" si="0"/>
        <v>2002</v>
      </c>
      <c r="F10" s="12">
        <f t="shared" si="0"/>
        <v>2003</v>
      </c>
      <c r="G10" s="12">
        <f t="shared" si="0"/>
        <v>2004</v>
      </c>
      <c r="H10" s="12">
        <f t="shared" si="0"/>
        <v>2005</v>
      </c>
    </row>
    <row r="11" spans="1:8">
      <c r="A11" s="17" t="s">
        <v>131</v>
      </c>
      <c r="B11" s="17"/>
      <c r="C11" s="21">
        <f>+B3</f>
        <v>14</v>
      </c>
      <c r="D11" s="21">
        <f>(1+$B$4)*C11</f>
        <v>14</v>
      </c>
      <c r="E11" s="21">
        <f>(1+$B$4)*D11</f>
        <v>14</v>
      </c>
      <c r="F11" s="21">
        <f>(1+$D$4)*(1+$B$4)*E11</f>
        <v>16.8</v>
      </c>
      <c r="G11" s="21">
        <f>(1+$B$4)*F11</f>
        <v>16.8</v>
      </c>
      <c r="H11" s="21">
        <f>(1+$B$4)*G11</f>
        <v>16.8</v>
      </c>
    </row>
    <row r="12" spans="1:8">
      <c r="A12" s="17" t="s">
        <v>132</v>
      </c>
      <c r="B12" s="17"/>
      <c r="C12" s="22"/>
      <c r="D12" s="22"/>
      <c r="E12" s="22"/>
      <c r="F12" s="22"/>
      <c r="G12" s="22"/>
      <c r="H12" s="22"/>
    </row>
    <row r="13" spans="1:8">
      <c r="A13" s="17" t="s">
        <v>133</v>
      </c>
      <c r="B13" s="17"/>
      <c r="C13" s="22"/>
      <c r="D13" s="22"/>
      <c r="E13" s="22"/>
      <c r="F13" s="22"/>
      <c r="G13" s="22"/>
      <c r="H13" s="22"/>
    </row>
    <row r="14" spans="1:8">
      <c r="A14" s="17" t="s">
        <v>134</v>
      </c>
      <c r="B14" s="17"/>
      <c r="C14" s="22">
        <f>15*20000</f>
        <v>300000</v>
      </c>
      <c r="D14" s="22">
        <f>15*20000</f>
        <v>300000</v>
      </c>
      <c r="E14" s="22">
        <f>15*20000</f>
        <v>300000</v>
      </c>
      <c r="F14" s="22">
        <f>F11*20000</f>
        <v>336000</v>
      </c>
      <c r="G14" s="22">
        <f>F14</f>
        <v>336000</v>
      </c>
      <c r="H14" s="22">
        <f>F14</f>
        <v>336000</v>
      </c>
    </row>
    <row r="15" spans="1:8">
      <c r="A15" s="17" t="s">
        <v>135</v>
      </c>
      <c r="B15" s="17"/>
      <c r="C15" s="22">
        <f>C11*10000</f>
        <v>140000</v>
      </c>
      <c r="D15" s="22">
        <f>C11*10000</f>
        <v>140000</v>
      </c>
      <c r="E15" s="22">
        <f>$D$15</f>
        <v>140000</v>
      </c>
      <c r="F15" s="22">
        <f>$D$15</f>
        <v>140000</v>
      </c>
      <c r="G15" s="22">
        <f>$D$15</f>
        <v>140000</v>
      </c>
      <c r="H15" s="22">
        <f>$D$15</f>
        <v>140000</v>
      </c>
    </row>
    <row r="16" spans="1:8">
      <c r="A16" s="17" t="s">
        <v>136</v>
      </c>
      <c r="B16" s="17"/>
      <c r="C16" s="22">
        <f t="shared" ref="C16:H16" si="1">C14+C15</f>
        <v>440000</v>
      </c>
      <c r="D16" s="22">
        <f t="shared" si="1"/>
        <v>440000</v>
      </c>
      <c r="E16" s="22">
        <f t="shared" si="1"/>
        <v>440000</v>
      </c>
      <c r="F16" s="22">
        <f t="shared" si="1"/>
        <v>476000</v>
      </c>
      <c r="G16" s="22">
        <f t="shared" si="1"/>
        <v>476000</v>
      </c>
      <c r="H16" s="22">
        <f t="shared" si="1"/>
        <v>476000</v>
      </c>
    </row>
    <row r="17" spans="1:8">
      <c r="A17" s="17" t="s">
        <v>137</v>
      </c>
      <c r="B17" s="17"/>
      <c r="C17" s="22">
        <f>-(D6/12)*C15</f>
        <v>-140000</v>
      </c>
      <c r="D17" s="22"/>
      <c r="E17" s="22"/>
      <c r="F17" s="22">
        <f>-$D$5*($D$7/12)*F11*20000</f>
        <v>-84000</v>
      </c>
      <c r="G17" s="22"/>
      <c r="H17" s="22">
        <f>-$D$5*MINA((1-($D$6/12)),($D$7/12))*H11*10000</f>
        <v>0</v>
      </c>
    </row>
    <row r="18" spans="1:8">
      <c r="A18" s="17" t="s">
        <v>138</v>
      </c>
      <c r="B18" s="17"/>
      <c r="C18" s="22">
        <f>-(MINA(5,12-D6)/12)*C11*10000</f>
        <v>0</v>
      </c>
      <c r="D18" s="22">
        <f>-((5-MINA(5,12-D6))/12)*C11*10000</f>
        <v>-58333.333333333336</v>
      </c>
      <c r="E18" s="22"/>
      <c r="F18" s="22"/>
      <c r="G18" s="22"/>
      <c r="H18" s="22"/>
    </row>
    <row r="19" spans="1:8">
      <c r="A19" s="17" t="s">
        <v>139</v>
      </c>
      <c r="B19" s="17"/>
      <c r="C19" s="22"/>
      <c r="D19" s="22"/>
      <c r="E19" s="22"/>
      <c r="F19" s="22"/>
      <c r="G19" s="22"/>
      <c r="H19" s="22"/>
    </row>
    <row r="20" spans="1:8">
      <c r="A20" s="17" t="s">
        <v>134</v>
      </c>
      <c r="B20" s="17"/>
      <c r="C20" s="22">
        <f>C$25*(20000/30000)-4*20000</f>
        <v>10107.333333333328</v>
      </c>
      <c r="D20" s="22">
        <f>D$25*(20000/30000)-4*20000</f>
        <v>20048</v>
      </c>
      <c r="E20" s="22">
        <f>E$25*(20000/30000)-4*20000</f>
        <v>24049.919999999998</v>
      </c>
      <c r="F20" s="22">
        <f>F$25*(20000/30000)-$F$25*(20000/30000)</f>
        <v>0</v>
      </c>
      <c r="G20" s="22">
        <f>G$25*(20000/30000)-$F$25*(20000/30000)</f>
        <v>7755.1873706666811</v>
      </c>
      <c r="H20" s="22">
        <f>H$25*(20000/30000)-$F$25*(20000/30000)</f>
        <v>12256.803109546687</v>
      </c>
    </row>
    <row r="21" spans="1:8">
      <c r="A21" s="17" t="s">
        <v>135</v>
      </c>
      <c r="B21" s="17"/>
      <c r="C21" s="22">
        <f>MAXA(0,((1-(D6/12))*C$25*(10000/30000)-5*10000))</f>
        <v>0</v>
      </c>
      <c r="D21" s="22">
        <f>D$25*(10000/30000)-5*10000</f>
        <v>24</v>
      </c>
      <c r="E21" s="22">
        <f>E$25*(10000/30000)-5*10000</f>
        <v>2024.9599999999991</v>
      </c>
      <c r="F21" s="22">
        <f>F$25*(10000/30000)-5*10000</f>
        <v>2392.6030506666721</v>
      </c>
      <c r="G21" s="22">
        <f>G$25*(10000/30000)-5*10000</f>
        <v>6270.1967360000126</v>
      </c>
      <c r="H21" s="22">
        <f>(D6/12)*(H$25*(10000/30000)-5*10000)</f>
        <v>8521.0046054400154</v>
      </c>
    </row>
    <row r="22" spans="1:8">
      <c r="A22" s="17" t="s">
        <v>136</v>
      </c>
      <c r="B22" s="17"/>
      <c r="C22" s="22">
        <f t="shared" ref="C22:H22" si="2">C20+C21</f>
        <v>10107.333333333328</v>
      </c>
      <c r="D22" s="22">
        <f t="shared" si="2"/>
        <v>20072</v>
      </c>
      <c r="E22" s="22">
        <f t="shared" si="2"/>
        <v>26074.879999999997</v>
      </c>
      <c r="F22" s="22">
        <f t="shared" si="2"/>
        <v>2392.6030506666721</v>
      </c>
      <c r="G22" s="22">
        <f t="shared" si="2"/>
        <v>14025.384106666694</v>
      </c>
      <c r="H22" s="22">
        <f t="shared" si="2"/>
        <v>20777.807714986702</v>
      </c>
    </row>
    <row r="23" spans="1:8">
      <c r="A23" s="17" t="s">
        <v>140</v>
      </c>
      <c r="B23" s="17"/>
      <c r="C23" s="22">
        <f t="shared" ref="C23:H23" si="3">C16+C17+C18+C22</f>
        <v>310107.33333333331</v>
      </c>
      <c r="D23" s="22">
        <f t="shared" si="3"/>
        <v>401738.66666666669</v>
      </c>
      <c r="E23" s="22">
        <f t="shared" si="3"/>
        <v>466074.88</v>
      </c>
      <c r="F23" s="22">
        <f t="shared" si="3"/>
        <v>394392.60305066669</v>
      </c>
      <c r="G23" s="22">
        <f t="shared" si="3"/>
        <v>490025.38410666666</v>
      </c>
      <c r="H23" s="22">
        <f t="shared" si="3"/>
        <v>496777.80771498673</v>
      </c>
    </row>
    <row r="24" spans="1:8">
      <c r="C24" s="22"/>
      <c r="D24" s="22"/>
      <c r="E24" s="22"/>
      <c r="F24" s="22"/>
      <c r="G24" s="22"/>
      <c r="H24" s="22"/>
    </row>
    <row r="25" spans="1:8">
      <c r="A25" s="17" t="s">
        <v>35</v>
      </c>
      <c r="B25" s="17"/>
      <c r="C25" s="22">
        <f>B$5*30000*((1-(-C17/C15)*(10000/30000))*0.19+0.81)</f>
        <v>135161</v>
      </c>
      <c r="D25" s="22">
        <f>(1+$B$6)*4.81*30000</f>
        <v>150072</v>
      </c>
      <c r="E25" s="22">
        <f>(1+$B$6)*D25</f>
        <v>156074.88</v>
      </c>
      <c r="F25" s="22">
        <f>(1+$B$6)*E25*((1-(-F17/F14)*(20000/30000))*0.19+0.81)</f>
        <v>157177.80915200003</v>
      </c>
      <c r="G25" s="22">
        <f>(1+$B$6)^2*E25</f>
        <v>168810.59020800004</v>
      </c>
      <c r="H25" s="22">
        <f>(1+$B$6)*G25*((1-(-H17/H15)*(10000/30000))*0.19+0.81)</f>
        <v>175563.01381632005</v>
      </c>
    </row>
    <row r="26" spans="1:8">
      <c r="C26" s="22"/>
      <c r="D26" s="22"/>
      <c r="E26" s="22"/>
      <c r="F26" s="22"/>
      <c r="G26" s="22"/>
      <c r="H26" s="22"/>
    </row>
    <row r="27" spans="1:8">
      <c r="A27" s="17" t="s">
        <v>141</v>
      </c>
      <c r="B27" s="17"/>
      <c r="C27" s="22">
        <f t="shared" ref="C27:H27" si="4">C23-C25</f>
        <v>174946.33333333331</v>
      </c>
      <c r="D27" s="22">
        <f t="shared" si="4"/>
        <v>251666.66666666669</v>
      </c>
      <c r="E27" s="22">
        <f t="shared" si="4"/>
        <v>310000</v>
      </c>
      <c r="F27" s="22">
        <f t="shared" si="4"/>
        <v>237214.79389866666</v>
      </c>
      <c r="G27" s="22">
        <f t="shared" si="4"/>
        <v>321214.79389866663</v>
      </c>
      <c r="H27" s="22">
        <f t="shared" si="4"/>
        <v>321214.79389866668</v>
      </c>
    </row>
    <row r="28" spans="1:8">
      <c r="C28" s="22"/>
      <c r="D28" s="22"/>
      <c r="E28" s="22"/>
      <c r="F28" s="22"/>
      <c r="G28" s="22"/>
      <c r="H28" s="22"/>
    </row>
    <row r="29" spans="1:8">
      <c r="A29" s="17" t="s">
        <v>142</v>
      </c>
      <c r="B29" s="17"/>
      <c r="C29" s="22"/>
      <c r="D29" s="22"/>
      <c r="E29" s="22"/>
      <c r="F29" s="22"/>
      <c r="G29" s="22"/>
      <c r="H29" s="22"/>
    </row>
    <row r="30" spans="1:8">
      <c r="A30" s="17" t="s">
        <v>143</v>
      </c>
      <c r="B30" s="17"/>
      <c r="D30" s="22">
        <f>10*10000</f>
        <v>100000</v>
      </c>
      <c r="F30" s="22">
        <f>((1-$D$5)*10+$D$5*3)*20000</f>
        <v>130000</v>
      </c>
      <c r="G30" s="22"/>
      <c r="H30" s="22"/>
    </row>
    <row r="31" spans="1:8">
      <c r="A31" s="17" t="s">
        <v>144</v>
      </c>
      <c r="B31" s="17"/>
      <c r="D31" s="22">
        <f>0.06*(C11*5*10000+C18+D18)</f>
        <v>38499.999999999993</v>
      </c>
      <c r="E31" s="22"/>
      <c r="F31" s="22">
        <f>((1-$D$5)*0.06+$D$5*0.03)*(F11*5*20000)</f>
        <v>75600</v>
      </c>
      <c r="G31" s="22"/>
      <c r="H31" s="22"/>
    </row>
    <row r="32" spans="1:8">
      <c r="A32" s="17" t="s">
        <v>145</v>
      </c>
      <c r="B32" s="17"/>
      <c r="C32" s="22">
        <v>30000</v>
      </c>
      <c r="D32" s="22">
        <v>30000</v>
      </c>
      <c r="E32" s="22">
        <v>30000</v>
      </c>
      <c r="F32" s="22">
        <v>30000</v>
      </c>
      <c r="G32" s="22">
        <v>30000</v>
      </c>
      <c r="H32" s="22"/>
    </row>
    <row r="33" spans="1:8">
      <c r="A33" s="17" t="s">
        <v>146</v>
      </c>
      <c r="B33" s="17"/>
      <c r="C33" s="22">
        <f>SUM(C30:C32)</f>
        <v>30000</v>
      </c>
      <c r="D33" s="22">
        <f>SUM(D30:D32)</f>
        <v>168500</v>
      </c>
      <c r="E33" s="22">
        <f>SUM(E30:E32)</f>
        <v>30000</v>
      </c>
      <c r="F33" s="22">
        <f>SUM(F30:F32)</f>
        <v>235600</v>
      </c>
      <c r="G33" s="22">
        <f>SUM(G30:G32)</f>
        <v>30000</v>
      </c>
      <c r="H33" s="22"/>
    </row>
    <row r="34" spans="1:8">
      <c r="C34" s="22"/>
      <c r="D34" s="22"/>
      <c r="E34" s="22"/>
      <c r="F34" s="22"/>
      <c r="G34" s="22"/>
      <c r="H34" s="22"/>
    </row>
    <row r="35" spans="1:8">
      <c r="A35" s="17" t="s">
        <v>147</v>
      </c>
      <c r="B35" s="17"/>
      <c r="C35" s="22">
        <f>C27-C33</f>
        <v>144946.33333333331</v>
      </c>
      <c r="D35" s="22">
        <f>D27-D33</f>
        <v>83166.666666666686</v>
      </c>
      <c r="E35" s="22">
        <f>E27-E33</f>
        <v>280000</v>
      </c>
      <c r="F35" s="22">
        <f>F27-F33</f>
        <v>1614.7938986666559</v>
      </c>
      <c r="G35" s="22">
        <f>G27-G33</f>
        <v>291214.79389866663</v>
      </c>
      <c r="H35" s="22"/>
    </row>
    <row r="36" spans="1:8">
      <c r="A36" s="17" t="s">
        <v>148</v>
      </c>
      <c r="B36" s="17"/>
      <c r="C36" s="22"/>
      <c r="D36" s="22"/>
      <c r="E36" s="22"/>
      <c r="F36" s="22"/>
      <c r="G36" s="22">
        <f>0.95*H27/0.1</f>
        <v>3051540.5420373338</v>
      </c>
      <c r="H36" s="22"/>
    </row>
    <row r="37" spans="1:8">
      <c r="A37" s="17" t="s">
        <v>149</v>
      </c>
      <c r="B37" s="23">
        <f>-D3</f>
        <v>-2200000</v>
      </c>
      <c r="C37" s="22">
        <f>C35+C36</f>
        <v>144946.33333333331</v>
      </c>
      <c r="D37" s="22">
        <f>D35+D36</f>
        <v>83166.666666666686</v>
      </c>
      <c r="E37" s="22">
        <f>E35+E36</f>
        <v>280000</v>
      </c>
      <c r="F37" s="22">
        <f>F35+F36</f>
        <v>1614.7938986666559</v>
      </c>
      <c r="G37" s="22">
        <f>G35+G36</f>
        <v>3342755.3359360006</v>
      </c>
      <c r="H37" s="22"/>
    </row>
    <row r="38" spans="1:8">
      <c r="D38" s="22"/>
      <c r="E38" s="22"/>
      <c r="F38" s="22"/>
      <c r="G38" s="22"/>
      <c r="H38" s="22"/>
    </row>
    <row r="39" spans="1:8">
      <c r="A39" s="12" t="s">
        <v>150</v>
      </c>
      <c r="B39" s="24">
        <f>B7</f>
        <v>0</v>
      </c>
      <c r="C39" s="24">
        <f>-$B$8*$B$7</f>
        <v>0</v>
      </c>
      <c r="D39" s="24">
        <f>-$B$8*$B$7</f>
        <v>0</v>
      </c>
      <c r="E39" s="24">
        <f>-$B$8*$B$7</f>
        <v>0</v>
      </c>
      <c r="F39" s="24">
        <f>-$B$8*$B$7</f>
        <v>0</v>
      </c>
      <c r="G39" s="24">
        <f>-$B$8*$B$7-B7</f>
        <v>0</v>
      </c>
    </row>
    <row r="40" spans="1:8">
      <c r="A40" s="12" t="s">
        <v>151</v>
      </c>
      <c r="B40" s="24">
        <f t="shared" ref="B40:G40" si="5">B37+B39</f>
        <v>-2200000</v>
      </c>
      <c r="C40" s="24">
        <f t="shared" si="5"/>
        <v>144946.33333333331</v>
      </c>
      <c r="D40" s="24">
        <f t="shared" si="5"/>
        <v>83166.666666666686</v>
      </c>
      <c r="E40" s="24">
        <f t="shared" si="5"/>
        <v>280000</v>
      </c>
      <c r="F40" s="24">
        <f t="shared" si="5"/>
        <v>1614.7938986666559</v>
      </c>
      <c r="G40" s="24">
        <f t="shared" si="5"/>
        <v>3342755.3359360006</v>
      </c>
    </row>
    <row r="41" spans="1:8">
      <c r="A41" s="12" t="s">
        <v>152</v>
      </c>
      <c r="C41" s="24">
        <f>C40</f>
        <v>144946.33333333331</v>
      </c>
      <c r="D41" s="24">
        <f>C41+D40</f>
        <v>228113</v>
      </c>
      <c r="E41" s="24">
        <f>D41+E40</f>
        <v>508113</v>
      </c>
      <c r="F41" s="24">
        <f>E41+F40</f>
        <v>509727.79389866663</v>
      </c>
      <c r="G41" s="24">
        <f>F41+G40</f>
        <v>3852483.1298346673</v>
      </c>
    </row>
    <row r="42" spans="1:8">
      <c r="A42" s="17" t="s">
        <v>153</v>
      </c>
      <c r="B42" s="17"/>
      <c r="C42" s="22">
        <f>NPV(D8,C37:G37)</f>
        <v>2292810.1763406023</v>
      </c>
    </row>
  </sheetData>
  <printOptions gridLinesSet="0"/>
  <pageMargins left="0.5" right="0.5" top="2.5" bottom="2.5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/>
  </sheetViews>
  <sheetFormatPr defaultRowHeight="11.25"/>
  <cols>
    <col min="1" max="1" width="33.625" style="1" customWidth="1"/>
    <col min="2" max="7" width="13.625" style="2" customWidth="1"/>
    <col min="8" max="16384" width="9" style="3"/>
  </cols>
  <sheetData>
    <row r="1" spans="1:7">
      <c r="D1" s="6" t="s">
        <v>0</v>
      </c>
      <c r="G1" s="2" t="s">
        <v>1</v>
      </c>
    </row>
    <row r="2" spans="1:7">
      <c r="D2" s="6"/>
      <c r="G2" s="2" t="s">
        <v>2</v>
      </c>
    </row>
    <row r="3" spans="1:7">
      <c r="D3" s="6"/>
      <c r="G3" s="2" t="s">
        <v>3</v>
      </c>
    </row>
    <row r="4" spans="1:7">
      <c r="D4" s="6"/>
      <c r="G4" s="2" t="s">
        <v>4</v>
      </c>
    </row>
    <row r="5" spans="1:7">
      <c r="D5" s="6"/>
      <c r="G5" s="2" t="s">
        <v>5</v>
      </c>
    </row>
    <row r="6" spans="1:7">
      <c r="D6" s="6"/>
      <c r="G6" s="2" t="s">
        <v>6</v>
      </c>
    </row>
    <row r="7" spans="1:7">
      <c r="D7" s="6"/>
      <c r="G7" s="2" t="s">
        <v>7</v>
      </c>
    </row>
    <row r="8" spans="1:7">
      <c r="D8" s="6"/>
      <c r="G8" s="2" t="s">
        <v>8</v>
      </c>
    </row>
    <row r="9" spans="1:7">
      <c r="D9" s="6" t="s">
        <v>9</v>
      </c>
    </row>
    <row r="10" spans="1:7">
      <c r="D10" s="6" t="s">
        <v>10</v>
      </c>
    </row>
    <row r="12" spans="1:7">
      <c r="B12" s="2" t="s">
        <v>11</v>
      </c>
      <c r="C12" s="2" t="s">
        <v>12</v>
      </c>
      <c r="D12" s="2" t="s">
        <v>13</v>
      </c>
      <c r="E12" s="2" t="s">
        <v>14</v>
      </c>
      <c r="F12" s="2" t="s">
        <v>15</v>
      </c>
      <c r="G12" s="2" t="s">
        <v>16</v>
      </c>
    </row>
    <row r="13" spans="1:7">
      <c r="A13" s="1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22</v>
      </c>
      <c r="G13" s="2" t="s">
        <v>23</v>
      </c>
    </row>
    <row r="14" spans="1:7">
      <c r="B14" s="2" t="s">
        <v>24</v>
      </c>
      <c r="C14" s="2" t="s">
        <v>24</v>
      </c>
      <c r="D14" s="2" t="s">
        <v>24</v>
      </c>
      <c r="E14" s="2" t="s">
        <v>24</v>
      </c>
      <c r="F14" s="2" t="s">
        <v>24</v>
      </c>
      <c r="G14" s="2" t="s">
        <v>24</v>
      </c>
    </row>
    <row r="15" spans="1:7">
      <c r="A15" s="1" t="s">
        <v>25</v>
      </c>
    </row>
    <row r="16" spans="1:7">
      <c r="A16" s="1" t="s">
        <v>26</v>
      </c>
      <c r="B16" s="4">
        <v>440000</v>
      </c>
      <c r="C16" s="4">
        <v>440000</v>
      </c>
      <c r="D16" s="4">
        <v>440000</v>
      </c>
      <c r="E16" s="4">
        <v>476000</v>
      </c>
      <c r="F16" s="4">
        <v>476000</v>
      </c>
      <c r="G16" s="4">
        <v>476000</v>
      </c>
    </row>
    <row r="17" spans="1:7">
      <c r="A17" s="1" t="s">
        <v>27</v>
      </c>
      <c r="B17" s="5">
        <v>-140000</v>
      </c>
      <c r="E17" s="5">
        <v>-84000</v>
      </c>
    </row>
    <row r="18" spans="1:7">
      <c r="A18" s="1" t="s">
        <v>28</v>
      </c>
      <c r="C18" s="5">
        <v>-58333</v>
      </c>
    </row>
    <row r="19" spans="1:7">
      <c r="B19" s="2" t="s">
        <v>24</v>
      </c>
      <c r="C19" s="2" t="s">
        <v>24</v>
      </c>
      <c r="D19" s="2" t="s">
        <v>24</v>
      </c>
      <c r="E19" s="2" t="s">
        <v>24</v>
      </c>
      <c r="F19" s="2" t="s">
        <v>24</v>
      </c>
      <c r="G19" s="2" t="s">
        <v>24</v>
      </c>
    </row>
    <row r="20" spans="1:7">
      <c r="A20" s="1" t="s">
        <v>29</v>
      </c>
      <c r="B20" s="5">
        <v>300000</v>
      </c>
      <c r="C20" s="5">
        <v>381667</v>
      </c>
      <c r="D20" s="5">
        <v>440000</v>
      </c>
      <c r="E20" s="5">
        <v>392000</v>
      </c>
      <c r="F20" s="5">
        <v>476000</v>
      </c>
      <c r="G20" s="5">
        <v>476000</v>
      </c>
    </row>
    <row r="22" spans="1:7">
      <c r="A22" s="1" t="s">
        <v>30</v>
      </c>
    </row>
    <row r="23" spans="1:7">
      <c r="A23" s="1" t="s">
        <v>31</v>
      </c>
      <c r="B23" s="5">
        <v>10107</v>
      </c>
      <c r="C23" s="5">
        <v>20072</v>
      </c>
      <c r="D23" s="5">
        <v>26075</v>
      </c>
      <c r="E23" s="5">
        <v>2393</v>
      </c>
      <c r="F23" s="5">
        <v>14025</v>
      </c>
      <c r="G23" s="5">
        <v>20778</v>
      </c>
    </row>
    <row r="24" spans="1:7">
      <c r="B24" s="2" t="s">
        <v>24</v>
      </c>
      <c r="C24" s="2" t="s">
        <v>24</v>
      </c>
      <c r="D24" s="2" t="s">
        <v>24</v>
      </c>
      <c r="E24" s="2" t="s">
        <v>24</v>
      </c>
      <c r="F24" s="2" t="s">
        <v>24</v>
      </c>
      <c r="G24" s="2" t="s">
        <v>24</v>
      </c>
    </row>
    <row r="25" spans="1:7">
      <c r="A25" s="1" t="s">
        <v>32</v>
      </c>
      <c r="B25" s="5">
        <v>10107</v>
      </c>
      <c r="C25" s="5">
        <v>20072</v>
      </c>
      <c r="D25" s="5">
        <v>26075</v>
      </c>
      <c r="E25" s="5">
        <v>2393</v>
      </c>
      <c r="F25" s="5">
        <v>14025</v>
      </c>
      <c r="G25" s="5">
        <v>20778</v>
      </c>
    </row>
    <row r="27" spans="1:7">
      <c r="B27" s="2" t="s">
        <v>24</v>
      </c>
      <c r="C27" s="2" t="s">
        <v>24</v>
      </c>
      <c r="D27" s="2" t="s">
        <v>24</v>
      </c>
      <c r="E27" s="2" t="s">
        <v>24</v>
      </c>
      <c r="F27" s="2" t="s">
        <v>24</v>
      </c>
      <c r="G27" s="2" t="s">
        <v>24</v>
      </c>
    </row>
    <row r="28" spans="1:7">
      <c r="A28" s="1" t="s">
        <v>33</v>
      </c>
      <c r="B28" s="5">
        <v>310107</v>
      </c>
      <c r="C28" s="5">
        <v>401739</v>
      </c>
      <c r="D28" s="5">
        <v>466075</v>
      </c>
      <c r="E28" s="5">
        <v>394393</v>
      </c>
      <c r="F28" s="5">
        <v>490025</v>
      </c>
      <c r="G28" s="5">
        <v>496778</v>
      </c>
    </row>
    <row r="29" spans="1:7">
      <c r="B29" s="2" t="s">
        <v>24</v>
      </c>
      <c r="C29" s="2" t="s">
        <v>24</v>
      </c>
      <c r="D29" s="2" t="s">
        <v>24</v>
      </c>
      <c r="E29" s="2" t="s">
        <v>24</v>
      </c>
      <c r="F29" s="2" t="s">
        <v>24</v>
      </c>
      <c r="G29" s="2" t="s">
        <v>24</v>
      </c>
    </row>
    <row r="30" spans="1:7">
      <c r="A30" s="1" t="s">
        <v>34</v>
      </c>
      <c r="B30" s="5">
        <v>310107</v>
      </c>
      <c r="C30" s="5">
        <v>401739</v>
      </c>
      <c r="D30" s="5">
        <v>466075</v>
      </c>
      <c r="E30" s="5">
        <v>394393</v>
      </c>
      <c r="F30" s="5">
        <v>490025</v>
      </c>
      <c r="G30" s="5">
        <v>496778</v>
      </c>
    </row>
    <row r="31" spans="1:7">
      <c r="B31" s="2" t="s">
        <v>24</v>
      </c>
      <c r="C31" s="2" t="s">
        <v>24</v>
      </c>
      <c r="D31" s="2" t="s">
        <v>24</v>
      </c>
      <c r="E31" s="2" t="s">
        <v>24</v>
      </c>
      <c r="F31" s="2" t="s">
        <v>24</v>
      </c>
      <c r="G31" s="2" t="s">
        <v>24</v>
      </c>
    </row>
    <row r="32" spans="1:7">
      <c r="A32" s="1" t="s">
        <v>35</v>
      </c>
    </row>
    <row r="33" spans="1:7">
      <c r="A33" s="1" t="s">
        <v>36</v>
      </c>
      <c r="B33" s="5">
        <v>135161</v>
      </c>
      <c r="C33" s="5">
        <v>150072</v>
      </c>
      <c r="D33" s="5">
        <v>156075</v>
      </c>
      <c r="E33" s="5">
        <v>157178</v>
      </c>
      <c r="F33" s="5">
        <v>168811</v>
      </c>
      <c r="G33" s="5">
        <v>175563</v>
      </c>
    </row>
    <row r="34" spans="1:7">
      <c r="B34" s="2" t="s">
        <v>24</v>
      </c>
      <c r="C34" s="2" t="s">
        <v>24</v>
      </c>
      <c r="D34" s="2" t="s">
        <v>24</v>
      </c>
      <c r="E34" s="2" t="s">
        <v>24</v>
      </c>
      <c r="F34" s="2" t="s">
        <v>24</v>
      </c>
      <c r="G34" s="2" t="s">
        <v>24</v>
      </c>
    </row>
    <row r="35" spans="1:7">
      <c r="A35" s="1" t="s">
        <v>37</v>
      </c>
      <c r="B35" s="5">
        <v>135161</v>
      </c>
      <c r="C35" s="5">
        <v>150072</v>
      </c>
      <c r="D35" s="5">
        <v>156075</v>
      </c>
      <c r="E35" s="5">
        <v>157178</v>
      </c>
      <c r="F35" s="5">
        <v>168811</v>
      </c>
      <c r="G35" s="5">
        <v>175563</v>
      </c>
    </row>
    <row r="36" spans="1:7">
      <c r="B36" s="2" t="s">
        <v>24</v>
      </c>
      <c r="C36" s="2" t="s">
        <v>24</v>
      </c>
      <c r="D36" s="2" t="s">
        <v>24</v>
      </c>
      <c r="E36" s="2" t="s">
        <v>24</v>
      </c>
      <c r="F36" s="2" t="s">
        <v>24</v>
      </c>
      <c r="G36" s="2" t="s">
        <v>24</v>
      </c>
    </row>
    <row r="37" spans="1:7">
      <c r="A37" s="1" t="s">
        <v>38</v>
      </c>
      <c r="B37" s="5">
        <v>174946</v>
      </c>
      <c r="C37" s="5">
        <v>251667</v>
      </c>
      <c r="D37" s="5">
        <v>310000</v>
      </c>
      <c r="E37" s="5">
        <v>237215</v>
      </c>
      <c r="F37" s="5">
        <v>321214</v>
      </c>
      <c r="G37" s="5">
        <v>321215</v>
      </c>
    </row>
    <row r="38" spans="1:7">
      <c r="B38" s="2" t="s">
        <v>24</v>
      </c>
      <c r="C38" s="2" t="s">
        <v>24</v>
      </c>
      <c r="D38" s="2" t="s">
        <v>24</v>
      </c>
      <c r="E38" s="2" t="s">
        <v>24</v>
      </c>
      <c r="F38" s="2" t="s">
        <v>24</v>
      </c>
      <c r="G38" s="2" t="s">
        <v>24</v>
      </c>
    </row>
    <row r="39" spans="1:7">
      <c r="A39" s="1" t="s">
        <v>39</v>
      </c>
    </row>
    <row r="40" spans="1:7">
      <c r="A40" s="1" t="s">
        <v>40</v>
      </c>
      <c r="C40" s="5">
        <v>100000</v>
      </c>
      <c r="E40" s="5">
        <v>130000</v>
      </c>
    </row>
    <row r="41" spans="1:7">
      <c r="A41" s="1" t="s">
        <v>41</v>
      </c>
      <c r="C41" s="5">
        <v>38500</v>
      </c>
      <c r="E41" s="5">
        <v>75600</v>
      </c>
    </row>
    <row r="42" spans="1:7">
      <c r="A42" s="1" t="s">
        <v>42</v>
      </c>
      <c r="B42" s="5">
        <v>30000</v>
      </c>
      <c r="C42" s="5">
        <v>30000</v>
      </c>
      <c r="D42" s="5">
        <v>30000</v>
      </c>
      <c r="E42" s="5">
        <v>30000</v>
      </c>
      <c r="F42" s="5">
        <v>30000</v>
      </c>
      <c r="G42" s="5">
        <v>30000</v>
      </c>
    </row>
    <row r="43" spans="1:7">
      <c r="B43" s="2" t="s">
        <v>24</v>
      </c>
      <c r="C43" s="2" t="s">
        <v>24</v>
      </c>
      <c r="D43" s="2" t="s">
        <v>24</v>
      </c>
      <c r="E43" s="2" t="s">
        <v>24</v>
      </c>
      <c r="F43" s="2" t="s">
        <v>24</v>
      </c>
      <c r="G43" s="2" t="s">
        <v>24</v>
      </c>
    </row>
    <row r="44" spans="1:7">
      <c r="A44" s="1" t="s">
        <v>43</v>
      </c>
      <c r="B44" s="5">
        <v>30000</v>
      </c>
      <c r="C44" s="5">
        <v>168500</v>
      </c>
      <c r="D44" s="5">
        <v>30000</v>
      </c>
      <c r="E44" s="5">
        <v>235600</v>
      </c>
      <c r="F44" s="5">
        <v>30000</v>
      </c>
      <c r="G44" s="5">
        <v>30000</v>
      </c>
    </row>
    <row r="45" spans="1:7">
      <c r="B45" s="2" t="s">
        <v>24</v>
      </c>
      <c r="C45" s="2" t="s">
        <v>24</v>
      </c>
      <c r="D45" s="2" t="s">
        <v>24</v>
      </c>
      <c r="E45" s="2" t="s">
        <v>24</v>
      </c>
      <c r="F45" s="2" t="s">
        <v>24</v>
      </c>
      <c r="G45" s="2" t="s">
        <v>24</v>
      </c>
    </row>
    <row r="46" spans="1:7">
      <c r="A46" s="1" t="s">
        <v>44</v>
      </c>
      <c r="B46" s="4">
        <v>144946</v>
      </c>
      <c r="C46" s="4">
        <v>83167</v>
      </c>
      <c r="D46" s="4">
        <v>280000</v>
      </c>
      <c r="E46" s="4">
        <v>1615</v>
      </c>
      <c r="F46" s="4">
        <v>291214</v>
      </c>
      <c r="G46" s="4">
        <v>291215</v>
      </c>
    </row>
    <row r="47" spans="1:7">
      <c r="A47" s="1" t="s">
        <v>45</v>
      </c>
      <c r="B47" s="2" t="s">
        <v>46</v>
      </c>
      <c r="C47" s="2" t="s">
        <v>46</v>
      </c>
      <c r="D47" s="2" t="s">
        <v>46</v>
      </c>
      <c r="E47" s="2" t="s">
        <v>46</v>
      </c>
      <c r="F47" s="2" t="s">
        <v>46</v>
      </c>
      <c r="G47" s="2" t="s">
        <v>46</v>
      </c>
    </row>
  </sheetData>
  <pageMargins left="0.7" right="0.7" top="0.75" bottom="0.75" header="0.3" footer="0.3"/>
  <pageSetup scale="99" orientation="landscape" r:id="rId1"/>
  <headerFooter>
    <oddFooter>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workbookViewId="0">
      <selection activeCell="C30" sqref="C30"/>
    </sheetView>
  </sheetViews>
  <sheetFormatPr defaultRowHeight="11.25"/>
  <cols>
    <col min="1" max="1" width="33.625" style="1" customWidth="1"/>
    <col min="2" max="3" width="13.625" style="2" customWidth="1"/>
    <col min="4" max="16384" width="9" style="3"/>
  </cols>
  <sheetData>
    <row r="1" spans="1:3">
      <c r="B1" s="6" t="s">
        <v>0</v>
      </c>
      <c r="C1" s="2" t="s">
        <v>1</v>
      </c>
    </row>
    <row r="2" spans="1:3">
      <c r="B2" s="6"/>
      <c r="C2" s="2" t="s">
        <v>2</v>
      </c>
    </row>
    <row r="3" spans="1:3">
      <c r="B3" s="6"/>
      <c r="C3" s="2" t="s">
        <v>3</v>
      </c>
    </row>
    <row r="4" spans="1:3">
      <c r="B4" s="6"/>
      <c r="C4" s="2" t="s">
        <v>4</v>
      </c>
    </row>
    <row r="5" spans="1:3">
      <c r="B5" s="6"/>
      <c r="C5" s="2" t="s">
        <v>5</v>
      </c>
    </row>
    <row r="6" spans="1:3">
      <c r="B6" s="6"/>
      <c r="C6" s="2" t="s">
        <v>6</v>
      </c>
    </row>
    <row r="7" spans="1:3">
      <c r="B7" s="6"/>
      <c r="C7" s="2" t="s">
        <v>7</v>
      </c>
    </row>
    <row r="8" spans="1:3">
      <c r="B8" s="6"/>
      <c r="C8" s="2" t="s">
        <v>47</v>
      </c>
    </row>
    <row r="9" spans="1:3">
      <c r="B9" s="6" t="s">
        <v>48</v>
      </c>
    </row>
    <row r="10" spans="1:3">
      <c r="B10" s="6" t="s">
        <v>49</v>
      </c>
    </row>
    <row r="11" spans="1:3">
      <c r="B11" s="6" t="s">
        <v>50</v>
      </c>
    </row>
    <row r="16" spans="1:3">
      <c r="A16" s="1" t="s">
        <v>51</v>
      </c>
      <c r="C16" s="2" t="s">
        <v>52</v>
      </c>
    </row>
    <row r="17" spans="1:3">
      <c r="A17" s="1" t="s">
        <v>53</v>
      </c>
      <c r="B17" s="2" t="s">
        <v>54</v>
      </c>
      <c r="C17" s="2" t="s">
        <v>55</v>
      </c>
    </row>
    <row r="18" spans="1:3">
      <c r="A18" s="1" t="s">
        <v>56</v>
      </c>
      <c r="B18" s="2" t="s">
        <v>55</v>
      </c>
      <c r="C18" s="2" t="s">
        <v>57</v>
      </c>
    </row>
    <row r="19" spans="1:3">
      <c r="A19" s="1" t="s">
        <v>58</v>
      </c>
      <c r="B19" s="2" t="s">
        <v>24</v>
      </c>
      <c r="C19" s="2" t="s">
        <v>24</v>
      </c>
    </row>
    <row r="21" spans="1:3">
      <c r="A21" s="1" t="s">
        <v>59</v>
      </c>
      <c r="B21" s="4">
        <v>144946</v>
      </c>
      <c r="C21" s="4">
        <v>129416</v>
      </c>
    </row>
    <row r="22" spans="1:3">
      <c r="A22" s="1" t="s">
        <v>60</v>
      </c>
      <c r="B22" s="5">
        <v>83167</v>
      </c>
      <c r="C22" s="5">
        <v>66300</v>
      </c>
    </row>
    <row r="23" spans="1:3">
      <c r="A23" s="1" t="s">
        <v>61</v>
      </c>
      <c r="B23" s="5">
        <v>280000</v>
      </c>
      <c r="C23" s="5">
        <v>199299</v>
      </c>
    </row>
    <row r="24" spans="1:3">
      <c r="A24" s="1" t="s">
        <v>62</v>
      </c>
      <c r="B24" s="5">
        <v>1615</v>
      </c>
      <c r="C24" s="5">
        <v>1026</v>
      </c>
    </row>
    <row r="25" spans="1:3">
      <c r="A25" s="1" t="s">
        <v>63</v>
      </c>
      <c r="B25" s="5">
        <v>291214</v>
      </c>
      <c r="C25" s="5">
        <v>165243</v>
      </c>
    </row>
    <row r="26" spans="1:3">
      <c r="B26" s="2" t="s">
        <v>24</v>
      </c>
      <c r="C26" s="2" t="s">
        <v>24</v>
      </c>
    </row>
    <row r="27" spans="1:3">
      <c r="A27" s="1" t="s">
        <v>64</v>
      </c>
      <c r="B27" s="5">
        <v>800942</v>
      </c>
      <c r="C27" s="5">
        <v>561284</v>
      </c>
    </row>
    <row r="28" spans="1:3">
      <c r="A28" s="1" t="s">
        <v>65</v>
      </c>
      <c r="B28" s="5">
        <v>3051542</v>
      </c>
      <c r="C28" s="5">
        <v>1731527</v>
      </c>
    </row>
    <row r="29" spans="1:3">
      <c r="C29" s="2" t="s">
        <v>24</v>
      </c>
    </row>
    <row r="30" spans="1:3">
      <c r="A30" s="1" t="s">
        <v>66</v>
      </c>
      <c r="C30" s="4">
        <v>2292811</v>
      </c>
    </row>
    <row r="31" spans="1:3">
      <c r="C31" s="2" t="s">
        <v>46</v>
      </c>
    </row>
    <row r="33" spans="1:3">
      <c r="A33" s="1" t="s">
        <v>67</v>
      </c>
      <c r="C33" s="4">
        <v>2293000</v>
      </c>
    </row>
    <row r="34" spans="1:3">
      <c r="C34" s="2" t="s">
        <v>46</v>
      </c>
    </row>
    <row r="36" spans="1:3">
      <c r="A36" s="1" t="s">
        <v>68</v>
      </c>
      <c r="C36" s="7">
        <v>76.430000000000007</v>
      </c>
    </row>
    <row r="39" spans="1:3">
      <c r="A39" s="1" t="s">
        <v>69</v>
      </c>
    </row>
    <row r="41" spans="1:3">
      <c r="A41" s="1" t="s">
        <v>70</v>
      </c>
      <c r="C41" s="8">
        <v>0.2281</v>
      </c>
    </row>
    <row r="42" spans="1:3">
      <c r="A42" s="1" t="s">
        <v>71</v>
      </c>
      <c r="C42" s="8">
        <v>1.67E-2</v>
      </c>
    </row>
    <row r="43" spans="1:3">
      <c r="A43" s="1" t="s">
        <v>72</v>
      </c>
      <c r="C43" s="8">
        <v>0.75519999999999998</v>
      </c>
    </row>
    <row r="44" spans="1:3">
      <c r="C44" s="2" t="s">
        <v>46</v>
      </c>
    </row>
    <row r="45" spans="1:3">
      <c r="C45" s="8">
        <v>1</v>
      </c>
    </row>
  </sheetData>
  <pageMargins left="0.7" right="0.7" top="0.75" bottom="0.75" header="0.3" footer="0.3"/>
  <pageSetup orientation="landscape" r:id="rId1"/>
  <headerFooter>
    <oddFooter>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zoomScaleNormal="100" workbookViewId="0"/>
  </sheetViews>
  <sheetFormatPr defaultRowHeight="11.25"/>
  <cols>
    <col min="1" max="1" width="33.625" style="1" customWidth="1"/>
    <col min="2" max="2" width="150.625" style="1" customWidth="1"/>
    <col min="3" max="3" width="33.625" style="1" customWidth="1"/>
    <col min="4" max="16384" width="9" style="3"/>
  </cols>
  <sheetData>
    <row r="1" spans="1:3">
      <c r="B1" s="6" t="s">
        <v>0</v>
      </c>
      <c r="C1" s="2" t="s">
        <v>1</v>
      </c>
    </row>
    <row r="2" spans="1:3">
      <c r="B2" s="6"/>
      <c r="C2" s="2" t="s">
        <v>2</v>
      </c>
    </row>
    <row r="3" spans="1:3">
      <c r="B3" s="6"/>
      <c r="C3" s="2" t="s">
        <v>3</v>
      </c>
    </row>
    <row r="4" spans="1:3">
      <c r="B4" s="6"/>
      <c r="C4" s="2" t="s">
        <v>4</v>
      </c>
    </row>
    <row r="5" spans="1:3">
      <c r="B5" s="6"/>
      <c r="C5" s="2" t="s">
        <v>5</v>
      </c>
    </row>
    <row r="6" spans="1:3">
      <c r="B6" s="6"/>
      <c r="C6" s="2" t="s">
        <v>6</v>
      </c>
    </row>
    <row r="7" spans="1:3">
      <c r="B7" s="6"/>
      <c r="C7" s="2" t="s">
        <v>7</v>
      </c>
    </row>
    <row r="8" spans="1:3">
      <c r="B8" s="6"/>
      <c r="C8" s="2" t="s">
        <v>73</v>
      </c>
    </row>
    <row r="9" spans="1:3">
      <c r="B9" s="6" t="s">
        <v>74</v>
      </c>
    </row>
    <row r="11" spans="1:3">
      <c r="A11" s="1" t="s">
        <v>75</v>
      </c>
    </row>
    <row r="12" spans="1:3">
      <c r="A12" s="1" t="s">
        <v>76</v>
      </c>
      <c r="B12" s="1" t="s">
        <v>77</v>
      </c>
    </row>
    <row r="13" spans="1:3">
      <c r="A13" s="1" t="s">
        <v>78</v>
      </c>
      <c r="B13" s="1" t="s">
        <v>79</v>
      </c>
    </row>
    <row r="14" spans="1:3">
      <c r="A14" s="1" t="s">
        <v>80</v>
      </c>
      <c r="B14" s="9">
        <v>0.04</v>
      </c>
    </row>
    <row r="16" spans="1:3">
      <c r="A16" s="1" t="s">
        <v>81</v>
      </c>
    </row>
    <row r="17" spans="1:2">
      <c r="A17" s="1" t="s">
        <v>82</v>
      </c>
      <c r="B17" s="1" t="s">
        <v>83</v>
      </c>
    </row>
    <row r="18" spans="1:2">
      <c r="A18" s="1" t="s">
        <v>84</v>
      </c>
      <c r="B18" s="1" t="s">
        <v>85</v>
      </c>
    </row>
    <row r="19" spans="1:2">
      <c r="A19" s="1" t="s">
        <v>86</v>
      </c>
      <c r="B19" s="10">
        <v>1</v>
      </c>
    </row>
    <row r="20" spans="1:2">
      <c r="A20" s="1" t="s">
        <v>87</v>
      </c>
      <c r="B20" s="1" t="s">
        <v>88</v>
      </c>
    </row>
    <row r="22" spans="1:2">
      <c r="A22" s="1" t="s">
        <v>89</v>
      </c>
    </row>
    <row r="23" spans="1:2">
      <c r="A23" s="1" t="s">
        <v>90</v>
      </c>
      <c r="B23" s="1" t="s">
        <v>91</v>
      </c>
    </row>
    <row r="24" spans="1:2">
      <c r="B24" s="1" t="s">
        <v>92</v>
      </c>
    </row>
    <row r="26" spans="1:2">
      <c r="A26" s="1" t="s">
        <v>93</v>
      </c>
    </row>
    <row r="27" spans="1:2">
      <c r="A27" s="1" t="s">
        <v>94</v>
      </c>
      <c r="B27" s="1" t="s">
        <v>95</v>
      </c>
    </row>
    <row r="28" spans="1:2">
      <c r="A28" s="1" t="s">
        <v>96</v>
      </c>
      <c r="B28" s="1" t="s">
        <v>97</v>
      </c>
    </row>
    <row r="29" spans="1:2">
      <c r="A29" s="1" t="s">
        <v>98</v>
      </c>
      <c r="B29" s="9">
        <v>0.1</v>
      </c>
    </row>
    <row r="30" spans="1:2">
      <c r="A30" s="1" t="s">
        <v>99</v>
      </c>
      <c r="B30" s="1" t="s">
        <v>100</v>
      </c>
    </row>
    <row r="31" spans="1:2">
      <c r="A31" s="1" t="s">
        <v>101</v>
      </c>
      <c r="B31" s="11">
        <v>160608</v>
      </c>
    </row>
    <row r="32" spans="1:2">
      <c r="A32" s="1" t="s">
        <v>102</v>
      </c>
      <c r="B32" s="11">
        <v>3051542</v>
      </c>
    </row>
    <row r="34" spans="1:2">
      <c r="A34" s="1" t="s">
        <v>103</v>
      </c>
    </row>
    <row r="35" spans="1:2">
      <c r="A35" s="1" t="s">
        <v>104</v>
      </c>
      <c r="B35" s="1" t="s">
        <v>105</v>
      </c>
    </row>
    <row r="36" spans="1:2">
      <c r="A36" s="1" t="s">
        <v>106</v>
      </c>
      <c r="B36" s="9">
        <v>0.12</v>
      </c>
    </row>
    <row r="37" spans="1:2">
      <c r="A37" s="1" t="s">
        <v>107</v>
      </c>
      <c r="B37" s="1" t="s">
        <v>108</v>
      </c>
    </row>
  </sheetData>
  <pageMargins left="0.7" right="0.7" top="0.75" bottom="0.75" header="0.3" footer="0.3"/>
  <pageSetup scale="52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Rentleg Plaza</vt:lpstr>
      <vt:lpstr>Cash Flow</vt:lpstr>
      <vt:lpstr>Detailed PV - Unleveraged</vt:lpstr>
      <vt:lpstr>Property Summary</vt:lpstr>
      <vt:lpstr>'Rentleg Plaza'!Print_Area</vt:lpstr>
    </vt:vector>
  </TitlesOfParts>
  <Company>WIT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Anderson</dc:creator>
  <cp:lastModifiedBy>Joshua Anderson</cp:lastModifiedBy>
  <cp:lastPrinted>2012-11-21T20:13:17Z</cp:lastPrinted>
  <dcterms:created xsi:type="dcterms:W3CDTF">2012-11-21T20:12:16Z</dcterms:created>
  <dcterms:modified xsi:type="dcterms:W3CDTF">2012-11-26T01:20:28Z</dcterms:modified>
</cp:coreProperties>
</file>