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activeTab="0"/>
  </bookViews>
  <sheets>
    <sheet name="Description and Use" sheetId="1" r:id="rId1"/>
    <sheet name="Cash Flow IRR Module Inputs" sheetId="2" r:id="rId2"/>
    <sheet name="Acquisition Info" sheetId="3" r:id="rId3"/>
    <sheet name="Cash Flow Proforma" sheetId="4" r:id="rId4"/>
    <sheet name="Sale Proceeds" sheetId="5" r:id="rId5"/>
    <sheet name="Yields" sheetId="6" r:id="rId6"/>
    <sheet name="NPV Analysis" sheetId="7" r:id="rId7"/>
  </sheets>
  <definedNames>
    <definedName name="Acquisition_Costs">#REF!</definedName>
    <definedName name="Adjusted_Basis">#REF!</definedName>
    <definedName name="ADS_Mtg_1">#REF!</definedName>
    <definedName name="ADS_Mtg_2">#REF!</definedName>
    <definedName name="Amort_Period_Mtg_1">#REF!</definedName>
    <definedName name="Amort_Period_Mtg_2">#REF!</definedName>
    <definedName name="Amount_Mtg_1">#REF!</definedName>
    <definedName name="Amount_Mtg_2">#REF!</definedName>
    <definedName name="Bal_EOY1_Mtg_1">#REF!</definedName>
    <definedName name="Bal_EOY1_Mtg_2">#REF!</definedName>
    <definedName name="Bal_EOY2_Mtg_1">#REF!</definedName>
    <definedName name="Bal_EOY2_Mtg_2">#REF!</definedName>
    <definedName name="Bal_EOY3_Mtg_1">#REF!</definedName>
    <definedName name="Bal_EOY3_Mtg_2">#REF!</definedName>
    <definedName name="Bal_EOY4_Mtg_1">#REF!</definedName>
    <definedName name="Bal_EOY4_Mtg_2">#REF!</definedName>
    <definedName name="Bal_EOY5_Mtg_1">#REF!</definedName>
    <definedName name="Bal_EOY5_Mtg_2">#REF!</definedName>
    <definedName name="Cap_rate_used_in_Sale_1">#REF!</definedName>
    <definedName name="Cap_rate_used_in_Sale_2">#REF!</definedName>
    <definedName name="Cap_rate_used_in_Sale_3">#REF!</definedName>
    <definedName name="Capital_Gain_Max_Tax_Rate">#REF!</definedName>
    <definedName name="CFAT_1">#REF!</definedName>
    <definedName name="CFAT_10">#REF!</definedName>
    <definedName name="CFAT_2">#REF!</definedName>
    <definedName name="CFAT_3">#REF!</definedName>
    <definedName name="CFAT_4">#REF!</definedName>
    <definedName name="CFAT_5">#REF!</definedName>
    <definedName name="CFAT_6">#REF!</definedName>
    <definedName name="CFAT_7">#REF!</definedName>
    <definedName name="CFAT_8">#REF!</definedName>
    <definedName name="CFAT_9">#REF!</definedName>
    <definedName name="CFBT_1">#REF!</definedName>
    <definedName name="CFBT_10">#REF!</definedName>
    <definedName name="CFBT_2">#REF!</definedName>
    <definedName name="CFBT_3">#REF!</definedName>
    <definedName name="CFBT_4">#REF!</definedName>
    <definedName name="CFBT_5">#REF!</definedName>
    <definedName name="CFBT_6">#REF!</definedName>
    <definedName name="CFBT_7">#REF!</definedName>
    <definedName name="CFBT_8">#REF!</definedName>
    <definedName name="CFBT_9">#REF!</definedName>
    <definedName name="CFBT_APOD">#REF!</definedName>
    <definedName name="Cost_recovery_10_Years">#REF!</definedName>
    <definedName name="Cost_recovery_5_Years">#REF!</definedName>
    <definedName name="Date">#REF!</definedName>
    <definedName name="Date_of_Sale">#REF!</definedName>
    <definedName name="Down_Payment">#REF!</definedName>
    <definedName name="ERI_APOD">#REF!</definedName>
    <definedName name="Expenses_of_Sale">#REF!</definedName>
    <definedName name="ExpEscal_10">#REF!</definedName>
    <definedName name="ExpEscal_11">#REF!</definedName>
    <definedName name="ExpEscal_2">#REF!</definedName>
    <definedName name="ExpEscal_3">#REF!</definedName>
    <definedName name="ExpEscal_4">#REF!</definedName>
    <definedName name="ExpEscal_5">#REF!</definedName>
    <definedName name="ExpEscal_6">#REF!</definedName>
    <definedName name="ExpEscal_7">#REF!</definedName>
    <definedName name="ExpEscal_8">#REF!</definedName>
    <definedName name="ExpEscal_9">#REF!</definedName>
    <definedName name="file">#REF!</definedName>
    <definedName name="GOI">#REF!</definedName>
    <definedName name="GOI_APOD">#REF!</definedName>
    <definedName name="In_Service_date">#REF!</definedName>
    <definedName name="In_Service_date_personal">#REF!</definedName>
    <definedName name="IncEscal_10">#REF!</definedName>
    <definedName name="IncEscal_11">#REF!</definedName>
    <definedName name="IncEscal_2">#REF!</definedName>
    <definedName name="IncEscal_3">#REF!</definedName>
    <definedName name="IncEscal_4">#REF!</definedName>
    <definedName name="IncEscal_5">#REF!</definedName>
    <definedName name="IncEscal_6">#REF!</definedName>
    <definedName name="IncEscal_7">#REF!</definedName>
    <definedName name="IncEscal_8">#REF!</definedName>
    <definedName name="IncEscal_9">#REF!</definedName>
    <definedName name="Initial_Investment">#REF!</definedName>
    <definedName name="Leasing_Commissions">#REF!</definedName>
    <definedName name="Loan_Points">#REF!</definedName>
    <definedName name="Loan_Term_Mtg_1">#REF!</definedName>
    <definedName name="Loan_Term_Mtg_2">#REF!</definedName>
    <definedName name="Location">#REF!</definedName>
    <definedName name="Month_Placed_in_Svc">#REF!</definedName>
    <definedName name="Mortgage_2">#REF!</definedName>
    <definedName name="Name">#REF!</definedName>
    <definedName name="NOI_APOD">#REF!</definedName>
    <definedName name="NOI_Yr_1">#REF!</definedName>
    <definedName name="NOI_Yr_11">#REF!</definedName>
    <definedName name="NOI_Yr_2">#REF!</definedName>
    <definedName name="NOI_Yr_3">#REF!</definedName>
    <definedName name="NOI_Yr_4">#REF!</definedName>
    <definedName name="NOI_Yr_5">#REF!</definedName>
    <definedName name="Noi_Yr_6">#REF!</definedName>
    <definedName name="OP_EXP_APOD">#REF!</definedName>
    <definedName name="Ordinary_Income_Tax_Bracket">#REF!</definedName>
    <definedName name="OTHER_APOD">#REF!</definedName>
    <definedName name="Other_Inc_with_vac">#REF!</definedName>
    <definedName name="Per_Pmt_Mtg_1">#REF!</definedName>
    <definedName name="Per_Pmt_Mtg_2">#REF!</definedName>
    <definedName name="Percent_Improvements">#REF!</definedName>
    <definedName name="Percent_Land">#REF!</definedName>
    <definedName name="Pmts_Year_Mtg_1">#REF!</definedName>
    <definedName name="Pmts_Year_Mtg_2">#REF!</definedName>
    <definedName name="Points_Mtg_1">#REF!</definedName>
    <definedName name="Points_Mtg_2">#REF!</definedName>
    <definedName name="Prepared_by">#REF!</definedName>
    <definedName name="PRI_APOD">#REF!</definedName>
    <definedName name="Price">#REF!</definedName>
    <definedName name="Property_Type">#REF!</definedName>
    <definedName name="Puchase_Price">#REF!</definedName>
    <definedName name="purchase_price">#REF!</definedName>
    <definedName name="Rate_Mtg_1">#REF!</definedName>
    <definedName name="Rate_Mtg_2">#REF!</definedName>
    <definedName name="Size_of_Property">#REF!</definedName>
    <definedName name="SPAT_1">#REF!</definedName>
    <definedName name="SPAT_2">#REF!</definedName>
    <definedName name="SPAT_3">#REF!</definedName>
    <definedName name="Total_Beginning_Mortgages">#REF!</definedName>
    <definedName name="Useful_Life_Personal">#REF!</definedName>
    <definedName name="Useful_Life_Real">#REF!</definedName>
    <definedName name="Vac_Yr_1">#REF!</definedName>
    <definedName name="Vac_Yr_10">#REF!</definedName>
    <definedName name="Vac_Yr_11">#REF!</definedName>
    <definedName name="Vac_Yr_2">#REF!</definedName>
    <definedName name="Vac_Yr_3">#REF!</definedName>
    <definedName name="Vac_Yr_4">#REF!</definedName>
    <definedName name="Vac_Yr_5">#REF!</definedName>
    <definedName name="Vac_Yr_6">#REF!</definedName>
    <definedName name="Vac_Yr_7">#REF!</definedName>
    <definedName name="Vac_Yr_8">#REF!</definedName>
    <definedName name="Vac_Yr_9">#REF!</definedName>
    <definedName name="Value_Improvements_Real">#REF!</definedName>
    <definedName name="Value_Personal">#REF!</definedName>
    <definedName name="XAcquisition_Costs">#REF!</definedName>
    <definedName name="xAdjusted_Basis">#REF!</definedName>
    <definedName name="xADS_Mtg_1">#REF!</definedName>
    <definedName name="xAds_Mtg_2">#REF!</definedName>
    <definedName name="xAmort_Period_Mtg_1">#REF!</definedName>
    <definedName name="xAmort_Period_Mtg_2">#REF!</definedName>
    <definedName name="xAmount_Mtg_1">#REF!</definedName>
    <definedName name="xAmount_Mtg_2">#REF!</definedName>
    <definedName name="xBal_EOY_Mtg_2">#REF!</definedName>
    <definedName name="xBal_EOY1_Mtg_1">#REF!</definedName>
    <definedName name="xBal_EOY2_Mtg_1">#REF!</definedName>
    <definedName name="xBal_EOY2_Mtg_2">#REF!</definedName>
    <definedName name="xBal_EOY3_Mtg_1">#REF!</definedName>
    <definedName name="xBal_EOY3_Mtg_2">#REF!</definedName>
    <definedName name="xBal_EOY4_Mtg_1">#REF!</definedName>
    <definedName name="xBal_EOY4_Mtg_2">#REF!</definedName>
    <definedName name="xBal_EOY5_Mtg_1">#REF!</definedName>
    <definedName name="xBal_EOY5_Mtg_2">#REF!</definedName>
    <definedName name="xCap_rate_used_in_Sale_1">#REF!</definedName>
    <definedName name="xCap_rate_used_in_Sale_2">#REF!</definedName>
    <definedName name="xCap_rate_used_in_Sale_3">#REF!</definedName>
    <definedName name="xCapital_Gain_Max_Tax_Rate">#REF!</definedName>
    <definedName name="XCFAT_1">#REF!</definedName>
    <definedName name="xCFAT_10">#REF!</definedName>
    <definedName name="xCFAT_2">#REF!</definedName>
    <definedName name="xCFAT_3">#REF!</definedName>
    <definedName name="xCFAT_4">#REF!</definedName>
    <definedName name="xCFAT_5">#REF!</definedName>
    <definedName name="xCFAT_6">#REF!</definedName>
    <definedName name="xCFAT_7">#REF!</definedName>
    <definedName name="xCFAT_8">#REF!</definedName>
    <definedName name="xCFAT_9">#REF!</definedName>
    <definedName name="xCFBT_1">#REF!</definedName>
    <definedName name="xCFBT_10">#REF!</definedName>
    <definedName name="xCFBT_2">#REF!</definedName>
    <definedName name="xCFBT_3">#REF!</definedName>
    <definedName name="xCFBT_4">#REF!</definedName>
    <definedName name="xCFBT_5">#REF!</definedName>
    <definedName name="xCFBT_6">#REF!</definedName>
    <definedName name="xCFBT_7">#REF!</definedName>
    <definedName name="xCFBT_8">#REF!</definedName>
    <definedName name="xCFBT_9">#REF!</definedName>
    <definedName name="xCFBT_APOd">#REF!</definedName>
    <definedName name="xCost_recovery_10_Years">#REF!</definedName>
    <definedName name="xCost_recovery_5_Years">#REF!</definedName>
    <definedName name="xDate">#REF!</definedName>
    <definedName name="xDate_of_Sale">#REF!</definedName>
    <definedName name="xDown_Payment">#REF!</definedName>
    <definedName name="xEdpEscal_5">#REF!</definedName>
    <definedName name="xERI_APOD">#REF!</definedName>
    <definedName name="XExpenses_of_Sale">#REF!</definedName>
    <definedName name="xExpEscal_10">#REF!</definedName>
    <definedName name="xExpEscal_11">#REF!</definedName>
    <definedName name="xExpEscal_2">#REF!</definedName>
    <definedName name="xExpEscal_3">#REF!</definedName>
    <definedName name="xExpEscal_4">#REF!</definedName>
    <definedName name="xExpEscal_6">#REF!</definedName>
    <definedName name="xExpEscal_7">#REF!</definedName>
    <definedName name="xExpEscal_8">#REF!</definedName>
    <definedName name="xExpEscal_9">#REF!</definedName>
    <definedName name="xGOI">#REF!</definedName>
    <definedName name="xGOI_APOD">#REF!</definedName>
    <definedName name="xIn_Service_date">#REF!</definedName>
    <definedName name="xIn_Service_date_personal">#REF!</definedName>
    <definedName name="xIncEscal_10">#REF!</definedName>
    <definedName name="xIncEscal_11">#REF!</definedName>
    <definedName name="xIncEscal_2">#REF!</definedName>
    <definedName name="xIncEscal_3">#REF!</definedName>
    <definedName name="xIncEscal_4">#REF!</definedName>
    <definedName name="xIncEscal_5">#REF!</definedName>
    <definedName name="xIncEscal_6">#REF!</definedName>
    <definedName name="xIncEscal_7">#REF!</definedName>
    <definedName name="XIncEscal_8">#REF!</definedName>
    <definedName name="xIncEscal_9">#REF!</definedName>
    <definedName name="xInitial_Investment">#REF!</definedName>
    <definedName name="xLeasing_Commissions">#REF!</definedName>
    <definedName name="xLoan_Points">#REF!</definedName>
    <definedName name="xLoan_Term_Mtg_1">#REF!</definedName>
    <definedName name="xLoan_Term_Mtg_2">#REF!</definedName>
    <definedName name="xLocation">#REF!</definedName>
    <definedName name="xMonth_Placed_in_Svc">#REF!</definedName>
    <definedName name="xMortgage_2">#REF!</definedName>
    <definedName name="xName">#REF!</definedName>
    <definedName name="xNOI_APOD">#REF!</definedName>
    <definedName name="xNOI_Yr_1">#REF!</definedName>
    <definedName name="xNOI_YR_11">#REF!</definedName>
    <definedName name="xNOI_YR_2">#REF!</definedName>
    <definedName name="xNOI_Yr_3">#REF!</definedName>
    <definedName name="xNOI_Yr_4">#REF!</definedName>
    <definedName name="xNOI_Yr_5">#REF!</definedName>
    <definedName name="xNOI_Yr_6">#REF!</definedName>
    <definedName name="xOP_EXP_APOD">#REF!</definedName>
    <definedName name="xOrdinary_Income_Tax_Bracket">#REF!</definedName>
    <definedName name="xOTHER_APOD">#REF!</definedName>
    <definedName name="xOther_Inc_with_vac">#REF!</definedName>
    <definedName name="xPer_Pmt_Mtg_1">#REF!</definedName>
    <definedName name="xPer_Pmt_Mtg_2">#REF!</definedName>
    <definedName name="xPercent_Improvements">#REF!</definedName>
    <definedName name="xPercent_Land">#REF!</definedName>
    <definedName name="xPmts_Year_Mtg_1">#REF!</definedName>
    <definedName name="xPmts_Year_Mtg_2">#REF!</definedName>
    <definedName name="xPoints_Mtg_1">#REF!</definedName>
    <definedName name="xPoints_Mtg_2">#REF!</definedName>
    <definedName name="xPrepared_by">#REF!</definedName>
    <definedName name="xPRI_APOD">#REF!</definedName>
    <definedName name="xPrice">#REF!</definedName>
    <definedName name="xProperty_Type">#REF!</definedName>
    <definedName name="xPurchase_Price">#REF!</definedName>
    <definedName name="xRate_Mtg_1">#REF!</definedName>
    <definedName name="xRate_Mtg_2">#REF!</definedName>
    <definedName name="xSize_of_Property">#REF!</definedName>
    <definedName name="xSPAT_1">#REF!</definedName>
    <definedName name="xSPAT_2">#REF!</definedName>
    <definedName name="xSPAT_3">#REF!</definedName>
    <definedName name="xTotal_Beginning_Mortgages">#REF!</definedName>
    <definedName name="xUseful_Life_Personal">#REF!</definedName>
    <definedName name="xUseful_Life_Real">#REF!</definedName>
    <definedName name="xVac_Yr_1">#REF!</definedName>
    <definedName name="xVac_Yr_10">#REF!</definedName>
    <definedName name="xVac_Yr_11">#REF!</definedName>
    <definedName name="xVac_Yr_2">#REF!</definedName>
    <definedName name="xVac_Yr_3">#REF!</definedName>
    <definedName name="xVac_Yr_4">#REF!</definedName>
    <definedName name="xVac_Yr_5">#REF!</definedName>
    <definedName name="xVac_Yr_6">#REF!</definedName>
    <definedName name="xVac_Yr_7">#REF!</definedName>
    <definedName name="xVac_Yr_8">#REF!</definedName>
    <definedName name="xVac_Yr_9">#REF!</definedName>
    <definedName name="xValue_Improvements_Real">#REF!</definedName>
    <definedName name="xValue_Personal">#REF!</definedName>
  </definedNames>
  <calcPr fullCalcOnLoad="1"/>
</workbook>
</file>

<file path=xl/sharedStrings.xml><?xml version="1.0" encoding="utf-8"?>
<sst xmlns="http://schemas.openxmlformats.org/spreadsheetml/2006/main" count="301" uniqueCount="181">
  <si>
    <t>Vacancy Loss</t>
  </si>
  <si>
    <t>Less:  Operating Expenses</t>
  </si>
  <si>
    <t>NET OPERATING INCOME</t>
  </si>
  <si>
    <t>Less:  Interest</t>
  </si>
  <si>
    <t>TAXABLE INCOME</t>
  </si>
  <si>
    <t>Times Tax Rate</t>
  </si>
  <si>
    <t>Less:  Annual Debt Service</t>
  </si>
  <si>
    <t>CASH FLOW BEFORE TAX</t>
  </si>
  <si>
    <t>Less: Tax Liability</t>
  </si>
  <si>
    <t>CASH FLOW AFTER TAX</t>
  </si>
  <si>
    <t>Improvement Allocation</t>
  </si>
  <si>
    <t>Disposition Cost of Sale</t>
  </si>
  <si>
    <t>Interest Rate</t>
  </si>
  <si>
    <t>Amortization Period</t>
  </si>
  <si>
    <t>Term</t>
  </si>
  <si>
    <t>Payments Per Year</t>
  </si>
  <si>
    <t>Loan Costs (% of Loan Amount or $ Amount)</t>
  </si>
  <si>
    <t>Initial Investment</t>
  </si>
  <si>
    <t>Useful Life</t>
  </si>
  <si>
    <t>Projected Holding Period</t>
  </si>
  <si>
    <t>Periodic Payment</t>
  </si>
  <si>
    <t>Annual Debt Service</t>
  </si>
  <si>
    <t>Investor Assumptions</t>
  </si>
  <si>
    <t>Tax Rate on Ordinary Income</t>
  </si>
  <si>
    <t>Tax Rate on Capital Gains</t>
  </si>
  <si>
    <t>Tax Rate on Cost Recovery Recapture</t>
  </si>
  <si>
    <t>Debt Coverage Ratio</t>
  </si>
  <si>
    <t>Expense Ratio</t>
  </si>
  <si>
    <t>Before Tax Cash on Cash</t>
  </si>
  <si>
    <t>Return on Asset</t>
  </si>
  <si>
    <t>After Tax Cash on Cash</t>
  </si>
  <si>
    <t>Total Cost Recovery Taken</t>
  </si>
  <si>
    <t>Adjusted Basis</t>
  </si>
  <si>
    <t>Cost of Sale</t>
  </si>
  <si>
    <t>Total Gain</t>
  </si>
  <si>
    <t>Mortgage Balance</t>
  </si>
  <si>
    <t>Sale Proceeds Before Tax</t>
  </si>
  <si>
    <t>Tax on Cost Recovery Recapture</t>
  </si>
  <si>
    <t>Sale Proceeds After Tax</t>
  </si>
  <si>
    <t>EOY</t>
  </si>
  <si>
    <t>+</t>
  </si>
  <si>
    <t>$</t>
  </si>
  <si>
    <t>IRR =</t>
  </si>
  <si>
    <t>Effective Cost of Borrowed Funds</t>
  </si>
  <si>
    <t>Acquisition Cap Rate</t>
  </si>
  <si>
    <t>Projected Year of Refinance (EOY)</t>
  </si>
  <si>
    <t>Property Management Expense (% of Effective Rental Income)</t>
  </si>
  <si>
    <t>EOY Balance (Refinanced Loan)</t>
  </si>
  <si>
    <t>Refinance Assumptions</t>
  </si>
  <si>
    <t>Year 1 Potential Rental Income/Constant Annual Growth Rate</t>
  </si>
  <si>
    <t>Year 1 Property Taxes/Constant Annual Growth Rate</t>
  </si>
  <si>
    <t>Year 1 Property Insurance/Constant Annual Growth Rate</t>
  </si>
  <si>
    <t>Year 1 Repairs and Maintenance/Constant Annual Growth Rate</t>
  </si>
  <si>
    <t>Year 1 Accounting and Advertising/Constant Annual Growth Rate</t>
  </si>
  <si>
    <t>Cost Recovery Value of Improvements</t>
  </si>
  <si>
    <t>11 1/2 Month Year Cost Recovery %age</t>
  </si>
  <si>
    <t>Full Year Cost Recovery %age</t>
  </si>
  <si>
    <t>Loan Costs</t>
  </si>
  <si>
    <t>Purchase Price (Acquisition Cap Rate or $ Amount)</t>
  </si>
  <si>
    <t>Interest</t>
  </si>
  <si>
    <t>Balance</t>
  </si>
  <si>
    <t>ADS</t>
  </si>
  <si>
    <t>Payment</t>
  </si>
  <si>
    <t>LC</t>
  </si>
  <si>
    <t>PA</t>
  </si>
  <si>
    <t>UNAMT</t>
  </si>
  <si>
    <t>Year of Refinance (EOY)</t>
  </si>
  <si>
    <t>Refinance Loan Amount</t>
  </si>
  <si>
    <t>Unamortized Loan Costs</t>
  </si>
  <si>
    <t>POTENTIAL RENTAL INCOME</t>
  </si>
  <si>
    <t>EFFECTIVE RENTAL INCOME</t>
  </si>
  <si>
    <t>Tax Liability (Savings)</t>
  </si>
  <si>
    <t>Acquisition Financing Assumptions</t>
  </si>
  <si>
    <t>Breakeven Occupancy Percent</t>
  </si>
  <si>
    <t>Calculation of Loan Amount (% of Purchase Price, DCR, or Loan Amount)</t>
  </si>
  <si>
    <t xml:space="preserve">          Management</t>
  </si>
  <si>
    <t xml:space="preserve">          Property Taxes</t>
  </si>
  <si>
    <t xml:space="preserve">          Property Insurance</t>
  </si>
  <si>
    <t xml:space="preserve">          Maintenance &amp; Repairs</t>
  </si>
  <si>
    <t xml:space="preserve">          Accounting &amp; Advertising</t>
  </si>
  <si>
    <t xml:space="preserve">          Cost Recovery</t>
  </si>
  <si>
    <t>END OF YEAR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</si>
  <si>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</si>
  <si>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</si>
  <si>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</si>
  <si>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</si>
  <si>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</si>
  <si>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</si>
  <si>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</si>
  <si>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</si>
  <si>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</si>
  <si>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</si>
  <si>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</si>
  <si>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</si>
  <si>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</si>
  <si>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</si>
  <si>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</si>
  <si>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</si>
  <si>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</si>
  <si>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</si>
  <si>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</si>
  <si>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</si>
  <si>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</si>
  <si>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</si>
  <si>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</si>
  <si>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</si>
  <si>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</si>
  <si>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</si>
  <si>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</si>
  <si>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</si>
  <si>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</si>
  <si>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</si>
  <si>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</si>
  <si>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</si>
  <si>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</si>
  <si>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         Loan Costs Amortization</t>
  </si>
  <si>
    <t>Acquisition Loan</t>
  </si>
  <si>
    <t>Refinance Loan</t>
  </si>
  <si>
    <t>Annual LC Amortization</t>
  </si>
  <si>
    <t>Refinance Proceeds</t>
  </si>
  <si>
    <t>EOY Balance (Acquisition Loan)</t>
  </si>
  <si>
    <t>Property Information</t>
  </si>
  <si>
    <t>Purchase Price</t>
  </si>
  <si>
    <t>Acquisition Costs</t>
  </si>
  <si>
    <t>11 1/2 Month Year Cost Recovery Deduction</t>
  </si>
  <si>
    <t>Full Year Cost Recovery Deduction</t>
  </si>
  <si>
    <t>Disposition Cap Rate</t>
  </si>
  <si>
    <t>Projected End of Year 10 Sale Price</t>
  </si>
  <si>
    <t>Projected End of Year 10 Cost of Sale</t>
  </si>
  <si>
    <t>Acquisition Financing Information</t>
  </si>
  <si>
    <t>Loan Amount</t>
  </si>
  <si>
    <t>Refinance Information</t>
  </si>
  <si>
    <t>Projected Year of Refinance (End of Year)</t>
  </si>
  <si>
    <t>balance</t>
  </si>
  <si>
    <t>Capital Gain</t>
  </si>
  <si>
    <t>Tax on Capital Gain</t>
  </si>
  <si>
    <t>Tax (Loss) on Ordinary Income</t>
  </si>
  <si>
    <t>bt</t>
  </si>
  <si>
    <t>at</t>
  </si>
  <si>
    <t>unl</t>
  </si>
  <si>
    <t xml:space="preserve">          Capital Contributions</t>
  </si>
  <si>
    <t>Property Value (Acquisition CR)</t>
  </si>
  <si>
    <t>Sale Price</t>
  </si>
  <si>
    <t>Calculation of Loan Amount (% of Value,DCR, or Loan Amount)</t>
  </si>
  <si>
    <t>EOY 10 Resale Price Cap Rate (Uses 11th Year NOI or $ Amount) Ex. Enter 10% here as 10.0</t>
  </si>
  <si>
    <t>Constant Vacancy Rate (Ex: Enter 5% here as .05)</t>
  </si>
  <si>
    <t>Interest Rate (Enter as decimal form, .08 = 8.0%)</t>
  </si>
  <si>
    <t>7</t>
  </si>
  <si>
    <t>This workbook contains several spreadsheets that might be used fo the analysis of a real estate investment from various perspectives.</t>
  </si>
  <si>
    <t>The cash flow module includes the cash flow module inputs which provide the output summarized on the acquisition info, cash flow proforma</t>
  </si>
  <si>
    <t>for up to 10 years, sales proceeds and yields.  The yields are provided as IRRs, internal rates of return.  There is also a NPV, net present value</t>
  </si>
  <si>
    <t xml:space="preserve">page based upon a required rate of return and assuming a reasonable mortgage value as provided.  </t>
  </si>
  <si>
    <t xml:space="preserve">The IRR and NPV results are not realistic if the mortgage assumptions don't make sense.   That is the analyst must be able to meet the </t>
  </si>
  <si>
    <t>objectives of the investor, lender, and tenants.</t>
  </si>
  <si>
    <t>Investor objectives might include a target required rate of return, a given cash on cash return in the early or later years, a certain dollar NPV or other criteria.</t>
  </si>
  <si>
    <t>Lender objectives might include a reasonable minimum DCR, debt coverage ratio, in the first year and beyond, and a reasonable LTV, loan to value ratio.</t>
  </si>
  <si>
    <t>Tenant objectives are usually related to occupancy cost, minimizing the present value of occupancy but non- quantitative objectives may also come into play.</t>
  </si>
  <si>
    <t>Developer objectives, not directly considered here, may be related to wealth creation where value exceeds costs.</t>
  </si>
  <si>
    <t>If the investor is typical in terms of market parameters, such as tax rates, interest rates, LTV and required yields then the resulting values using discounted cash</t>
  </si>
  <si>
    <t>flow models should be similar to the values using the appraisal techniques.  If they are not then the assumptions of one or the other don't make sense.</t>
  </si>
  <si>
    <t>Net Present Value Analysis Assumptions for Valuation</t>
  </si>
  <si>
    <t>Required Rate of Return After Tax</t>
  </si>
  <si>
    <t>Initial Cash</t>
  </si>
  <si>
    <t>Year 1</t>
  </si>
  <si>
    <t>Value of Mortgage</t>
  </si>
  <si>
    <t xml:space="preserve">Required Rate of Return = </t>
  </si>
  <si>
    <t>Net Present Value of Equity</t>
  </si>
  <si>
    <t>Planned Equity</t>
  </si>
  <si>
    <t>Total Investment Value of Property at RRR</t>
  </si>
  <si>
    <t xml:space="preserve">Note that the IRR is = </t>
  </si>
  <si>
    <t xml:space="preserve"> if the IRR is the same as the RRR the NPV will be zero</t>
  </si>
  <si>
    <t>Discounted Cash Flow Analysis with IRR and NPV</t>
  </si>
  <si>
    <t xml:space="preserve"> from input page</t>
  </si>
  <si>
    <t>Draft: June 9, 2005</t>
  </si>
  <si>
    <t>FIRST:  You must enable Macros!</t>
  </si>
  <si>
    <t>Seond:  You may need to go to "Tools" and protection and unprotect any sheet you are working on in order to do editing.</t>
  </si>
  <si>
    <t>The IRR is on the "yield" worksheet in cell J121.</t>
  </si>
  <si>
    <t>The first year debt coverage ratio is in the "cash flow proforma" in cell D26.</t>
  </si>
  <si>
    <t>you change the purchase price</t>
  </si>
  <si>
    <t>IN the cell C11 to the lower left</t>
  </si>
  <si>
    <t>What is the property worth if you need an IRR of 15.24% and debt coevrage ratio of 1.2 in the first year?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</si>
</sst>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  <numFmt numFmtId="167" formatCode="0.0000%"/>
    <numFmt numFmtId="168" formatCode="0.000%"/>
    <numFmt numFmtId="169" formatCode="&quot;$&quot;#,##0.000_);\(&quot;$&quot;#,##0.000\)"/>
    <numFmt numFmtId="170" formatCode=";;;"/>
    <numFmt numFmtId="171" formatCode="###,##?"/>
    <numFmt numFmtId="172" formatCode="_(* #,##0_);_(* \(#,##0\);_(* &quot;-&quot;??_);_(@_)"/>
    <numFmt numFmtId="173" formatCode="\:\:\:"/>
    <numFmt numFmtId="174" formatCode="0.0%"/>
    <numFmt numFmtId="175" formatCode="General_)"/>
    <numFmt numFmtId="176" formatCode="mmmm\-yy"/>
    <numFmt numFmtId="177" formatCode="##.##%"/>
    <numFmt numFmtId="178" formatCode="??.??%"/>
    <numFmt numFmtId="179" formatCode="#0.##%"/>
    <numFmt numFmtId="180" formatCode="_(* #,##0.00000000_);_(* \(#,##0.00000000\);_(* &quot;-&quot;??_);_(@_)"/>
    <numFmt numFmtId="181" formatCode="_(* #,##0.000000000_);_(* \(#,##0.000000000\);_(* &quot;-&quot;??_);_(@_)"/>
    <numFmt numFmtId="182" formatCode="##.0#%"/>
    <numFmt numFmtId="183" formatCode="#,##0.0"/>
    <numFmt numFmtId="184" formatCode="#,##0.0000_);\(#,##0.0000\)"/>
    <numFmt numFmtId="185" formatCode="#,##0.00000_);\(#,##0.00000\)"/>
    <numFmt numFmtId="186" formatCode="&quot;$&quot;#,##0"/>
    <numFmt numFmtId="187" formatCode="&quot;$&quot;#,##0.00"/>
    <numFmt numFmtId="188" formatCode=";;;\l"/>
    <numFmt numFmtId="189" formatCode="0.00000%"/>
    <numFmt numFmtId="190" formatCode="&quot;$&quot;#,##0.0_);\(&quot;$&quot;#,##0.0\)"/>
    <numFmt numFmtId="191" formatCode="0.0000000%"/>
    <numFmt numFmtId="192" formatCode="0_);[Red]\(0\)"/>
    <numFmt numFmtId="193" formatCode="0.000000%"/>
    <numFmt numFmtId="194" formatCode="&quot;$&quot;#,##0.0000_);\(&quot;$&quot;#,##0.0000\)"/>
    <numFmt numFmtId="195" formatCode="&quot;$&quot;#,##0.00000_);\(&quot;$&quot;#,##0.00000\)"/>
    <numFmt numFmtId="196" formatCode="&quot;$&quot;#,##0.000000_);\(&quot;$&quot;#,##0.000000\)"/>
    <numFmt numFmtId="197" formatCode="&quot;$&quot;#,##0.0000000_);\(&quot;$&quot;#,##0.0000000\)"/>
    <numFmt numFmtId="198" formatCode="&quot;$&quot;#,##0.00000000_);\(&quot;$&quot;#,##0.00000000\)"/>
    <numFmt numFmtId="199" formatCode="mmm\-yy_)"/>
    <numFmt numFmtId="200" formatCode="0.00_);[Red]\(0.00\)"/>
  </numFmts>
  <fonts count="40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20"/>
      <name val="Tahoma"/>
      <family val="2"/>
    </font>
    <font>
      <i/>
      <u val="double"/>
      <sz val="24"/>
      <name val="Tahoma"/>
      <family val="2"/>
    </font>
    <font>
      <i/>
      <sz val="20"/>
      <name val="Tahoma"/>
      <family val="2"/>
    </font>
    <font>
      <b/>
      <i/>
      <u val="double"/>
      <sz val="14"/>
      <color indexed="10"/>
      <name val="Tahoma"/>
      <family val="2"/>
    </font>
    <font>
      <i/>
      <sz val="32"/>
      <color indexed="12"/>
      <name val="Tahoma"/>
      <family val="2"/>
    </font>
    <font>
      <i/>
      <u val="double"/>
      <sz val="16"/>
      <color indexed="12"/>
      <name val="Tahoma"/>
      <family val="2"/>
    </font>
    <font>
      <sz val="22"/>
      <name val="Tahoma"/>
      <family val="2"/>
    </font>
    <font>
      <i/>
      <u val="double"/>
      <sz val="28"/>
      <color indexed="12"/>
      <name val="Tahoma"/>
      <family val="2"/>
    </font>
    <font>
      <i/>
      <u val="double"/>
      <sz val="28"/>
      <color indexed="10"/>
      <name val="Tahoma"/>
      <family val="2"/>
    </font>
    <font>
      <sz val="18"/>
      <name val="Tahoma"/>
      <family val="2"/>
    </font>
    <font>
      <sz val="16"/>
      <name val="Tahoma"/>
      <family val="2"/>
    </font>
    <font>
      <sz val="14"/>
      <name val="Tahoma"/>
      <family val="2"/>
    </font>
    <font>
      <i/>
      <sz val="24"/>
      <color indexed="12"/>
      <name val="Tahoma"/>
      <family val="2"/>
    </font>
    <font>
      <i/>
      <u val="double"/>
      <sz val="24"/>
      <color indexed="12"/>
      <name val="Tahoma"/>
      <family val="2"/>
    </font>
    <font>
      <i/>
      <u val="double"/>
      <sz val="24"/>
      <color indexed="57"/>
      <name val="Tahoma"/>
      <family val="2"/>
    </font>
    <font>
      <i/>
      <sz val="24"/>
      <color indexed="57"/>
      <name val="Tahoma"/>
      <family val="2"/>
    </font>
    <font>
      <i/>
      <sz val="24"/>
      <color indexed="10"/>
      <name val="Tahoma"/>
      <family val="2"/>
    </font>
    <font>
      <i/>
      <u val="double"/>
      <sz val="24"/>
      <color indexed="10"/>
      <name val="Tahoma"/>
      <family val="2"/>
    </font>
    <font>
      <i/>
      <sz val="48"/>
      <color indexed="12"/>
      <name val="Tahoma"/>
      <family val="2"/>
    </font>
    <font>
      <b/>
      <sz val="11"/>
      <color indexed="9"/>
      <name val="Tahoma"/>
      <family val="2"/>
    </font>
    <font>
      <b/>
      <i/>
      <sz val="14"/>
      <color indexed="9"/>
      <name val="Tahoma"/>
      <family val="2"/>
    </font>
    <font>
      <b/>
      <i/>
      <sz val="14"/>
      <name val="Tahoma"/>
      <family val="2"/>
    </font>
    <font>
      <i/>
      <sz val="22"/>
      <color indexed="12"/>
      <name val="Tahoma"/>
      <family val="2"/>
    </font>
    <font>
      <sz val="22"/>
      <color indexed="9"/>
      <name val="Tahoma"/>
      <family val="2"/>
    </font>
    <font>
      <b/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4"/>
      <color indexed="9"/>
      <name val="Arial"/>
      <family val="0"/>
    </font>
    <font>
      <sz val="16"/>
      <name val="Arial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thin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0" fontId="1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right"/>
    </xf>
    <xf numFmtId="5" fontId="0" fillId="0" borderId="0" xfId="0" applyNumberFormat="1" applyAlignment="1">
      <alignment/>
    </xf>
    <xf numFmtId="168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/>
    </xf>
    <xf numFmtId="5" fontId="1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/>
    </xf>
    <xf numFmtId="5" fontId="2" fillId="0" borderId="1" xfId="0" applyNumberFormat="1" applyFont="1" applyBorder="1" applyAlignment="1">
      <alignment horizontal="right"/>
    </xf>
    <xf numFmtId="5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5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4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5" fontId="6" fillId="3" borderId="6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7" xfId="0" applyNumberFormat="1" applyFont="1" applyBorder="1" applyAlignment="1" applyProtection="1">
      <alignment horizontal="right"/>
      <protection/>
    </xf>
    <xf numFmtId="49" fontId="5" fillId="0" borderId="3" xfId="0" applyNumberFormat="1" applyFont="1" applyBorder="1" applyAlignment="1" applyProtection="1">
      <alignment horizontal="right"/>
      <protection/>
    </xf>
    <xf numFmtId="49" fontId="5" fillId="0" borderId="8" xfId="0" applyNumberFormat="1" applyFont="1" applyBorder="1" applyAlignment="1" applyProtection="1">
      <alignment horizontal="right"/>
      <protection/>
    </xf>
    <xf numFmtId="10" fontId="1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 applyProtection="1">
      <alignment horizontal="right"/>
      <protection/>
    </xf>
    <xf numFmtId="5" fontId="0" fillId="0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0" fontId="0" fillId="3" borderId="0" xfId="0" applyFill="1" applyAlignment="1">
      <alignment/>
    </xf>
    <xf numFmtId="5" fontId="0" fillId="3" borderId="0" xfId="0" applyNumberFormat="1" applyFill="1" applyAlignment="1">
      <alignment horizontal="right"/>
    </xf>
    <xf numFmtId="0" fontId="0" fillId="3" borderId="0" xfId="21" applyFill="1">
      <alignment/>
      <protection/>
    </xf>
    <xf numFmtId="0" fontId="0" fillId="0" borderId="0" xfId="21">
      <alignment/>
      <protection/>
    </xf>
    <xf numFmtId="0" fontId="1" fillId="3" borderId="0" xfId="21" applyFont="1" applyFill="1">
      <alignment/>
      <protection/>
    </xf>
    <xf numFmtId="0" fontId="1" fillId="0" borderId="0" xfId="21" applyFont="1">
      <alignment/>
      <protection/>
    </xf>
    <xf numFmtId="5" fontId="1" fillId="0" borderId="0" xfId="21" applyNumberFormat="1" applyFont="1">
      <alignment/>
      <protection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5" fontId="21" fillId="0" borderId="0" xfId="0" applyNumberFormat="1" applyFont="1" applyAlignment="1">
      <alignment horizontal="right"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 horizontal="center" vertical="center"/>
    </xf>
    <xf numFmtId="49" fontId="29" fillId="3" borderId="10" xfId="0" applyNumberFormat="1" applyFont="1" applyFill="1" applyBorder="1" applyAlignment="1">
      <alignment horizontal="right" vertical="center"/>
    </xf>
    <xf numFmtId="49" fontId="29" fillId="3" borderId="11" xfId="0" applyNumberFormat="1" applyFont="1" applyFill="1" applyBorder="1" applyAlignment="1">
      <alignment vertical="center"/>
    </xf>
    <xf numFmtId="10" fontId="29" fillId="3" borderId="12" xfId="0" applyNumberFormat="1" applyFont="1" applyFill="1" applyBorder="1" applyAlignment="1">
      <alignment horizontal="right" vertical="center"/>
    </xf>
    <xf numFmtId="5" fontId="29" fillId="3" borderId="11" xfId="0" applyNumberFormat="1" applyFont="1" applyFill="1" applyBorder="1" applyAlignment="1">
      <alignment horizontal="right" vertical="center"/>
    </xf>
    <xf numFmtId="5" fontId="29" fillId="3" borderId="13" xfId="0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0" fontId="8" fillId="0" borderId="14" xfId="0" applyNumberFormat="1" applyFont="1" applyFill="1" applyBorder="1" applyAlignment="1">
      <alignment horizontal="right" vertical="center"/>
    </xf>
    <xf numFmtId="5" fontId="8" fillId="0" borderId="15" xfId="0" applyNumberFormat="1" applyFont="1" applyFill="1" applyBorder="1" applyAlignment="1">
      <alignment horizontal="right" vertical="center"/>
    </xf>
    <xf numFmtId="5" fontId="8" fillId="0" borderId="16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10" fontId="8" fillId="0" borderId="3" xfId="0" applyNumberFormat="1" applyFont="1" applyFill="1" applyBorder="1" applyAlignment="1">
      <alignment horizontal="right" vertical="center"/>
    </xf>
    <xf numFmtId="5" fontId="8" fillId="0" borderId="2" xfId="0" applyNumberFormat="1" applyFont="1" applyFill="1" applyBorder="1" applyAlignment="1">
      <alignment horizontal="right" vertical="center"/>
    </xf>
    <xf numFmtId="5" fontId="8" fillId="0" borderId="1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10" fontId="8" fillId="0" borderId="18" xfId="0" applyNumberFormat="1" applyFont="1" applyFill="1" applyBorder="1" applyAlignment="1">
      <alignment horizontal="right" vertical="center"/>
    </xf>
    <xf numFmtId="5" fontId="8" fillId="0" borderId="5" xfId="0" applyNumberFormat="1" applyFont="1" applyFill="1" applyBorder="1" applyAlignment="1">
      <alignment horizontal="right" vertical="center"/>
    </xf>
    <xf numFmtId="5" fontId="8" fillId="0" borderId="19" xfId="0" applyNumberFormat="1" applyFont="1" applyFill="1" applyBorder="1" applyAlignment="1">
      <alignment horizontal="right" vertical="center"/>
    </xf>
    <xf numFmtId="10" fontId="8" fillId="0" borderId="17" xfId="0" applyNumberFormat="1" applyFont="1" applyFill="1" applyBorder="1" applyAlignment="1">
      <alignment horizontal="right" vertical="center"/>
    </xf>
    <xf numFmtId="5" fontId="8" fillId="0" borderId="4" xfId="0" applyNumberFormat="1" applyFont="1" applyFill="1" applyBorder="1" applyAlignment="1">
      <alignment horizontal="right" vertical="center"/>
    </xf>
    <xf numFmtId="5" fontId="29" fillId="3" borderId="20" xfId="0" applyNumberFormat="1" applyFont="1" applyFill="1" applyBorder="1" applyAlignment="1">
      <alignment horizontal="right" vertical="center"/>
    </xf>
    <xf numFmtId="10" fontId="8" fillId="0" borderId="4" xfId="0" applyNumberFormat="1" applyFont="1" applyFill="1" applyBorder="1" applyAlignment="1">
      <alignment horizontal="right" vertical="center"/>
    </xf>
    <xf numFmtId="10" fontId="8" fillId="0" borderId="9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8" fillId="4" borderId="21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vertical="center"/>
    </xf>
    <xf numFmtId="10" fontId="8" fillId="4" borderId="23" xfId="0" applyNumberFormat="1" applyFont="1" applyFill="1" applyBorder="1" applyAlignment="1">
      <alignment horizontal="right" vertical="center"/>
    </xf>
    <xf numFmtId="49" fontId="8" fillId="4" borderId="24" xfId="0" applyNumberFormat="1" applyFont="1" applyFill="1" applyBorder="1" applyAlignment="1">
      <alignment horizontal="right" vertical="center"/>
    </xf>
    <xf numFmtId="0" fontId="8" fillId="4" borderId="25" xfId="0" applyFont="1" applyFill="1" applyBorder="1" applyAlignment="1">
      <alignment vertical="center"/>
    </xf>
    <xf numFmtId="10" fontId="8" fillId="4" borderId="26" xfId="0" applyNumberFormat="1" applyFont="1" applyFill="1" applyBorder="1" applyAlignment="1">
      <alignment horizontal="right" vertical="center"/>
    </xf>
    <xf numFmtId="10" fontId="8" fillId="4" borderId="25" xfId="0" applyNumberFormat="1" applyFont="1" applyFill="1" applyBorder="1" applyAlignment="1">
      <alignment horizontal="right" vertical="center"/>
    </xf>
    <xf numFmtId="0" fontId="8" fillId="4" borderId="26" xfId="0" applyFont="1" applyFill="1" applyBorder="1" applyAlignment="1">
      <alignment vertical="center"/>
    </xf>
    <xf numFmtId="5" fontId="8" fillId="4" borderId="27" xfId="0" applyNumberFormat="1" applyFont="1" applyFill="1" applyBorder="1" applyAlignment="1">
      <alignment horizontal="right" vertical="center"/>
    </xf>
    <xf numFmtId="5" fontId="8" fillId="4" borderId="28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19" fillId="4" borderId="29" xfId="0" applyFont="1" applyFill="1" applyBorder="1" applyAlignment="1">
      <alignment horizontal="center"/>
    </xf>
    <xf numFmtId="164" fontId="19" fillId="4" borderId="30" xfId="0" applyNumberFormat="1" applyFont="1" applyFill="1" applyBorder="1" applyAlignment="1">
      <alignment horizontal="center"/>
    </xf>
    <xf numFmtId="164" fontId="19" fillId="4" borderId="31" xfId="0" applyNumberFormat="1" applyFont="1" applyFill="1" applyBorder="1" applyAlignment="1">
      <alignment horizontal="center"/>
    </xf>
    <xf numFmtId="164" fontId="19" fillId="4" borderId="32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0" fontId="8" fillId="4" borderId="25" xfId="0" applyNumberFormat="1" applyFont="1" applyFill="1" applyBorder="1" applyAlignment="1" applyProtection="1">
      <alignment horizontal="right" vertical="center"/>
      <protection locked="0"/>
    </xf>
    <xf numFmtId="39" fontId="8" fillId="4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5" fontId="1" fillId="0" borderId="0" xfId="0" applyNumberFormat="1" applyFont="1" applyFill="1" applyBorder="1" applyAlignment="1" applyProtection="1">
      <alignment/>
      <protection/>
    </xf>
    <xf numFmtId="168" fontId="1" fillId="2" borderId="1" xfId="0" applyNumberFormat="1" applyFont="1" applyFill="1" applyBorder="1" applyAlignment="1">
      <alignment horizontal="right"/>
    </xf>
    <xf numFmtId="7" fontId="2" fillId="0" borderId="4" xfId="0" applyNumberFormat="1" applyFont="1" applyBorder="1" applyAlignment="1">
      <alignment horizontal="right"/>
    </xf>
    <xf numFmtId="7" fontId="2" fillId="0" borderId="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5" fontId="8" fillId="4" borderId="25" xfId="0" applyNumberFormat="1" applyFont="1" applyFill="1" applyBorder="1" applyAlignment="1">
      <alignment vertical="center"/>
    </xf>
    <xf numFmtId="49" fontId="8" fillId="4" borderId="33" xfId="0" applyNumberFormat="1" applyFont="1" applyFill="1" applyBorder="1" applyAlignment="1">
      <alignment horizontal="right" vertical="center"/>
    </xf>
    <xf numFmtId="0" fontId="8" fillId="4" borderId="34" xfId="0" applyFont="1" applyFill="1" applyBorder="1" applyAlignment="1">
      <alignment vertical="center"/>
    </xf>
    <xf numFmtId="10" fontId="8" fillId="4" borderId="35" xfId="0" applyNumberFormat="1" applyFont="1" applyFill="1" applyBorder="1" applyAlignment="1">
      <alignment horizontal="right" vertical="center"/>
    </xf>
    <xf numFmtId="5" fontId="8" fillId="4" borderId="34" xfId="0" applyNumberFormat="1" applyFont="1" applyFill="1" applyBorder="1" applyAlignment="1">
      <alignment horizontal="right" vertical="center"/>
    </xf>
    <xf numFmtId="5" fontId="8" fillId="4" borderId="36" xfId="0" applyNumberFormat="1" applyFont="1" applyFill="1" applyBorder="1" applyAlignment="1">
      <alignment horizontal="right" vertical="center"/>
    </xf>
    <xf numFmtId="5" fontId="8" fillId="4" borderId="37" xfId="0" applyNumberFormat="1" applyFont="1" applyFill="1" applyBorder="1" applyAlignment="1">
      <alignment horizontal="right" vertical="center"/>
    </xf>
    <xf numFmtId="49" fontId="8" fillId="4" borderId="38" xfId="0" applyNumberFormat="1" applyFont="1" applyFill="1" applyBorder="1" applyAlignment="1">
      <alignment horizontal="right"/>
    </xf>
    <xf numFmtId="0" fontId="8" fillId="4" borderId="39" xfId="0" applyFont="1" applyFill="1" applyBorder="1" applyAlignment="1">
      <alignment/>
    </xf>
    <xf numFmtId="10" fontId="8" fillId="4" borderId="40" xfId="0" applyNumberFormat="1" applyFont="1" applyFill="1" applyBorder="1" applyAlignment="1">
      <alignment horizontal="right"/>
    </xf>
    <xf numFmtId="5" fontId="8" fillId="4" borderId="39" xfId="0" applyNumberFormat="1" applyFont="1" applyFill="1" applyBorder="1" applyAlignment="1">
      <alignment horizontal="right"/>
    </xf>
    <xf numFmtId="5" fontId="8" fillId="4" borderId="41" xfId="0" applyNumberFormat="1" applyFont="1" applyFill="1" applyBorder="1" applyAlignment="1">
      <alignment horizontal="right"/>
    </xf>
    <xf numFmtId="5" fontId="8" fillId="4" borderId="42" xfId="0" applyNumberFormat="1" applyFont="1" applyFill="1" applyBorder="1" applyAlignment="1">
      <alignment horizontal="right"/>
    </xf>
    <xf numFmtId="39" fontId="8" fillId="4" borderId="43" xfId="0" applyNumberFormat="1" applyFont="1" applyFill="1" applyBorder="1" applyAlignment="1" applyProtection="1">
      <alignment horizontal="right" vertical="center"/>
      <protection locked="0"/>
    </xf>
    <xf numFmtId="10" fontId="8" fillId="4" borderId="28" xfId="0" applyNumberFormat="1" applyFont="1" applyFill="1" applyBorder="1" applyAlignment="1">
      <alignment horizontal="right" vertical="center"/>
    </xf>
    <xf numFmtId="10" fontId="8" fillId="4" borderId="28" xfId="0" applyNumberFormat="1" applyFont="1" applyFill="1" applyBorder="1" applyAlignment="1" applyProtection="1">
      <alignment horizontal="right" vertical="center"/>
      <protection locked="0"/>
    </xf>
    <xf numFmtId="5" fontId="8" fillId="4" borderId="28" xfId="0" applyNumberFormat="1" applyFont="1" applyFill="1" applyBorder="1" applyAlignment="1">
      <alignment vertical="center"/>
    </xf>
    <xf numFmtId="5" fontId="8" fillId="0" borderId="44" xfId="0" applyNumberFormat="1" applyFont="1" applyFill="1" applyBorder="1" applyAlignment="1">
      <alignment horizontal="right" vertical="center"/>
    </xf>
    <xf numFmtId="5" fontId="8" fillId="0" borderId="45" xfId="0" applyNumberFormat="1" applyFont="1" applyFill="1" applyBorder="1" applyAlignment="1">
      <alignment horizontal="right" vertical="center"/>
    </xf>
    <xf numFmtId="5" fontId="8" fillId="0" borderId="46" xfId="0" applyNumberFormat="1" applyFont="1" applyFill="1" applyBorder="1" applyAlignment="1">
      <alignment horizontal="right" vertical="center"/>
    </xf>
    <xf numFmtId="10" fontId="8" fillId="0" borderId="47" xfId="0" applyNumberFormat="1" applyFont="1" applyFill="1" applyBorder="1" applyAlignment="1">
      <alignment horizontal="right" vertical="center"/>
    </xf>
    <xf numFmtId="5" fontId="8" fillId="0" borderId="48" xfId="0" applyNumberFormat="1" applyFont="1" applyFill="1" applyBorder="1" applyAlignment="1">
      <alignment horizontal="right" vertical="center"/>
    </xf>
    <xf numFmtId="5" fontId="8" fillId="0" borderId="49" xfId="0" applyNumberFormat="1" applyFont="1" applyFill="1" applyBorder="1" applyAlignment="1">
      <alignment horizontal="right" vertical="center"/>
    </xf>
    <xf numFmtId="5" fontId="8" fillId="0" borderId="50" xfId="0" applyNumberFormat="1" applyFont="1" applyFill="1" applyBorder="1" applyAlignment="1">
      <alignment horizontal="right" vertical="center"/>
    </xf>
    <xf numFmtId="5" fontId="8" fillId="0" borderId="50" xfId="0" applyNumberFormat="1" applyFont="1" applyBorder="1" applyAlignment="1">
      <alignment horizontal="right" vertical="center"/>
    </xf>
    <xf numFmtId="5" fontId="8" fillId="0" borderId="51" xfId="0" applyNumberFormat="1" applyFont="1" applyBorder="1" applyAlignment="1">
      <alignment vertical="center"/>
    </xf>
    <xf numFmtId="5" fontId="8" fillId="0" borderId="45" xfId="0" applyNumberFormat="1" applyFont="1" applyBorder="1" applyAlignment="1">
      <alignment horizontal="right" vertical="center"/>
    </xf>
    <xf numFmtId="5" fontId="8" fillId="0" borderId="48" xfId="0" applyNumberFormat="1" applyFont="1" applyBorder="1" applyAlignment="1">
      <alignment horizontal="right" vertical="center"/>
    </xf>
    <xf numFmtId="10" fontId="5" fillId="4" borderId="9" xfId="0" applyNumberFormat="1" applyFont="1" applyFill="1" applyBorder="1" applyAlignment="1" applyProtection="1">
      <alignment horizontal="right"/>
      <protection locked="0"/>
    </xf>
    <xf numFmtId="10" fontId="5" fillId="4" borderId="1" xfId="0" applyNumberFormat="1" applyFont="1" applyFill="1" applyBorder="1" applyAlignment="1" applyProtection="1">
      <alignment horizontal="right"/>
      <protection locked="0"/>
    </xf>
    <xf numFmtId="164" fontId="5" fillId="4" borderId="1" xfId="0" applyNumberFormat="1" applyFont="1" applyFill="1" applyBorder="1" applyAlignment="1" applyProtection="1">
      <alignment horizontal="right"/>
      <protection locked="0"/>
    </xf>
    <xf numFmtId="10" fontId="5" fillId="4" borderId="19" xfId="0" applyNumberFormat="1" applyFont="1" applyFill="1" applyBorder="1" applyAlignment="1" applyProtection="1">
      <alignment horizontal="right"/>
      <protection locked="0"/>
    </xf>
    <xf numFmtId="39" fontId="5" fillId="4" borderId="17" xfId="0" applyNumberFormat="1" applyFont="1" applyFill="1" applyBorder="1" applyAlignment="1" applyProtection="1">
      <alignment horizontal="right"/>
      <protection locked="0"/>
    </xf>
    <xf numFmtId="5" fontId="5" fillId="4" borderId="1" xfId="0" applyNumberFormat="1" applyFont="1" applyFill="1" applyBorder="1" applyAlignment="1" applyProtection="1">
      <alignment horizontal="right"/>
      <protection locked="0"/>
    </xf>
    <xf numFmtId="166" fontId="5" fillId="4" borderId="1" xfId="0" applyNumberFormat="1" applyFont="1" applyFill="1" applyBorder="1" applyAlignment="1" applyProtection="1">
      <alignment horizontal="right"/>
      <protection locked="0"/>
    </xf>
    <xf numFmtId="5" fontId="5" fillId="4" borderId="19" xfId="0" applyNumberFormat="1" applyFont="1" applyFill="1" applyBorder="1" applyAlignment="1" applyProtection="1">
      <alignment horizontal="right"/>
      <protection locked="0"/>
    </xf>
    <xf numFmtId="39" fontId="5" fillId="4" borderId="19" xfId="0" applyNumberFormat="1" applyFont="1" applyFill="1" applyBorder="1" applyAlignment="1" applyProtection="1">
      <alignment horizontal="right"/>
      <protection locked="0"/>
    </xf>
    <xf numFmtId="164" fontId="5" fillId="4" borderId="9" xfId="0" applyNumberFormat="1" applyFont="1" applyFill="1" applyBorder="1" applyAlignment="1" applyProtection="1">
      <alignment/>
      <protection locked="0"/>
    </xf>
    <xf numFmtId="39" fontId="5" fillId="4" borderId="3" xfId="0" applyNumberFormat="1" applyFont="1" applyFill="1" applyBorder="1" applyAlignment="1" applyProtection="1">
      <alignment/>
      <protection locked="0"/>
    </xf>
    <xf numFmtId="10" fontId="5" fillId="4" borderId="1" xfId="0" applyNumberFormat="1" applyFont="1" applyFill="1" applyBorder="1" applyAlignment="1" applyProtection="1">
      <alignment/>
      <protection locked="0"/>
    </xf>
    <xf numFmtId="164" fontId="5" fillId="4" borderId="1" xfId="0" applyNumberFormat="1" applyFont="1" applyFill="1" applyBorder="1" applyAlignment="1" applyProtection="1">
      <alignment/>
      <protection locked="0"/>
    </xf>
    <xf numFmtId="165" fontId="5" fillId="4" borderId="1" xfId="0" applyNumberFormat="1" applyFont="1" applyFill="1" applyBorder="1" applyAlignment="1" applyProtection="1">
      <alignment/>
      <protection locked="0"/>
    </xf>
    <xf numFmtId="5" fontId="29" fillId="3" borderId="13" xfId="0" applyNumberFormat="1" applyFont="1" applyFill="1" applyBorder="1" applyAlignment="1" applyProtection="1">
      <alignment horizontal="right" vertical="center"/>
      <protection locked="0"/>
    </xf>
    <xf numFmtId="5" fontId="7" fillId="4" borderId="25" xfId="0" applyNumberFormat="1" applyFont="1" applyFill="1" applyBorder="1" applyAlignment="1">
      <alignment horizontal="right" vertical="center"/>
    </xf>
    <xf numFmtId="5" fontId="7" fillId="4" borderId="27" xfId="0" applyNumberFormat="1" applyFont="1" applyFill="1" applyBorder="1" applyAlignment="1">
      <alignment horizontal="right" vertical="center"/>
    </xf>
    <xf numFmtId="5" fontId="7" fillId="4" borderId="25" xfId="0" applyNumberFormat="1" applyFont="1" applyFill="1" applyBorder="1" applyAlignment="1">
      <alignment vertical="center"/>
    </xf>
    <xf numFmtId="0" fontId="7" fillId="0" borderId="2" xfId="0" applyFont="1" applyBorder="1" applyAlignment="1" applyProtection="1">
      <alignment/>
      <protection/>
    </xf>
    <xf numFmtId="10" fontId="5" fillId="4" borderId="3" xfId="0" applyNumberFormat="1" applyFont="1" applyFill="1" applyBorder="1" applyAlignment="1" applyProtection="1">
      <alignment horizontal="right"/>
      <protection locked="0"/>
    </xf>
    <xf numFmtId="5" fontId="34" fillId="0" borderId="0" xfId="21" applyNumberFormat="1" applyFont="1" applyAlignment="1">
      <alignment horizontal="right"/>
      <protection/>
    </xf>
    <xf numFmtId="0" fontId="34" fillId="0" borderId="0" xfId="21" applyFont="1">
      <alignment/>
      <protection/>
    </xf>
    <xf numFmtId="0" fontId="36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10" fontId="1" fillId="5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0" fontId="36" fillId="0" borderId="0" xfId="0" applyNumberFormat="1" applyFont="1" applyAlignment="1">
      <alignment/>
    </xf>
    <xf numFmtId="0" fontId="38" fillId="5" borderId="0" xfId="0" applyFont="1" applyFill="1" applyAlignment="1">
      <alignment/>
    </xf>
    <xf numFmtId="0" fontId="38" fillId="5" borderId="0" xfId="0" applyFont="1" applyFill="1" applyAlignment="1">
      <alignment/>
    </xf>
    <xf numFmtId="0" fontId="36" fillId="6" borderId="0" xfId="0" applyFont="1" applyFill="1" applyAlignment="1">
      <alignment/>
    </xf>
    <xf numFmtId="0" fontId="0" fillId="6" borderId="0" xfId="0" applyFill="1" applyAlignment="1">
      <alignment/>
    </xf>
    <xf numFmtId="49" fontId="30" fillId="3" borderId="3" xfId="0" applyNumberFormat="1" applyFont="1" applyFill="1" applyBorder="1" applyAlignment="1" applyProtection="1">
      <alignment horizontal="center"/>
      <protection/>
    </xf>
    <xf numFmtId="0" fontId="37" fillId="3" borderId="52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49" fontId="30" fillId="3" borderId="10" xfId="0" applyNumberFormat="1" applyFont="1" applyFill="1" applyBorder="1" applyAlignment="1" applyProtection="1">
      <alignment horizontal="center" vertical="center"/>
      <protection/>
    </xf>
    <xf numFmtId="49" fontId="30" fillId="0" borderId="5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49" fontId="31" fillId="0" borderId="53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0" fontId="19" fillId="4" borderId="55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0" xfId="21" applyAlignment="1">
      <alignment/>
      <protection/>
    </xf>
    <xf numFmtId="0" fontId="12" fillId="0" borderId="0" xfId="0" applyFont="1" applyAlignment="1">
      <alignment horizontal="right"/>
    </xf>
    <xf numFmtId="0" fontId="38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8" fontId="39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5" fontId="39" fillId="5" borderId="0" xfId="0" applyNumberFormat="1" applyFont="1" applyFill="1" applyAlignment="1">
      <alignment/>
    </xf>
    <xf numFmtId="8" fontId="39" fillId="6" borderId="0" xfId="0" applyNumberFormat="1" applyFont="1" applyFill="1" applyAlignment="1">
      <alignment wrapText="1"/>
    </xf>
    <xf numFmtId="0" fontId="39" fillId="6" borderId="0" xfId="0" applyFont="1" applyFill="1" applyAlignment="1">
      <alignment wrapText="1"/>
    </xf>
    <xf numFmtId="0" fontId="1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25</xdr:row>
      <xdr:rowOff>171450</xdr:rowOff>
    </xdr:from>
    <xdr:to>
      <xdr:col>4</xdr:col>
      <xdr:colOff>419100</xdr:colOff>
      <xdr:row>28</xdr:row>
      <xdr:rowOff>47625</xdr:rowOff>
    </xdr:to>
    <xdr:sp macro="[0]!clear">
      <xdr:nvSpPr>
        <xdr:cNvPr id="1" name="Rectangle 1"/>
        <xdr:cNvSpPr>
          <a:spLocks/>
        </xdr:cNvSpPr>
      </xdr:nvSpPr>
      <xdr:spPr>
        <a:xfrm>
          <a:off x="8353425" y="5067300"/>
          <a:ext cx="1257300" cy="485775"/>
        </a:xfrm>
        <a:prstGeom prst="roundRect">
          <a:avLst/>
        </a:prstGeom>
        <a:solidFill>
          <a:srgbClr val="0000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Clear</a:t>
          </a:r>
        </a:p>
      </xdr:txBody>
    </xdr:sp>
    <xdr:clientData/>
  </xdr:twoCellAnchor>
  <xdr:twoCellAnchor>
    <xdr:from>
      <xdr:col>3</xdr:col>
      <xdr:colOff>238125</xdr:colOff>
      <xdr:row>3</xdr:row>
      <xdr:rowOff>28575</xdr:rowOff>
    </xdr:from>
    <xdr:to>
      <xdr:col>4</xdr:col>
      <xdr:colOff>666750</xdr:colOff>
      <xdr:row>5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8181975" y="304800"/>
          <a:ext cx="1676400" cy="438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Lightly Shaded Cells are Input Cells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66675</xdr:rowOff>
    </xdr:from>
    <xdr:to>
      <xdr:col>10</xdr:col>
      <xdr:colOff>28575</xdr:colOff>
      <xdr:row>41</xdr:row>
      <xdr:rowOff>133350</xdr:rowOff>
    </xdr:to>
    <xdr:sp>
      <xdr:nvSpPr>
        <xdr:cNvPr id="1" name="Rectangle 48"/>
        <xdr:cNvSpPr>
          <a:spLocks/>
        </xdr:cNvSpPr>
      </xdr:nvSpPr>
      <xdr:spPr>
        <a:xfrm>
          <a:off x="257175" y="876300"/>
          <a:ext cx="9067800" cy="5895975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6</xdr:row>
      <xdr:rowOff>85725</xdr:rowOff>
    </xdr:from>
    <xdr:to>
      <xdr:col>6</xdr:col>
      <xdr:colOff>419100</xdr:colOff>
      <xdr:row>24</xdr:row>
      <xdr:rowOff>19050</xdr:rowOff>
    </xdr:to>
    <xdr:grpSp>
      <xdr:nvGrpSpPr>
        <xdr:cNvPr id="2" name="Group 47"/>
        <xdr:cNvGrpSpPr>
          <a:grpSpLocks/>
        </xdr:cNvGrpSpPr>
      </xdr:nvGrpSpPr>
      <xdr:grpSpPr>
        <a:xfrm>
          <a:off x="2419350" y="1057275"/>
          <a:ext cx="4752975" cy="2847975"/>
          <a:chOff x="253" y="70"/>
          <a:chExt cx="499" cy="299"/>
        </a:xfrm>
        <a:solidFill>
          <a:srgbClr val="FFFFFF"/>
        </a:solidFill>
      </xdr:grpSpPr>
      <xdr:grpSp>
        <xdr:nvGrpSpPr>
          <xdr:cNvPr id="3" name="Group 15"/>
          <xdr:cNvGrpSpPr>
            <a:grpSpLocks/>
          </xdr:cNvGrpSpPr>
        </xdr:nvGrpSpPr>
        <xdr:grpSpPr>
          <a:xfrm>
            <a:off x="253" y="111"/>
            <a:ext cx="499" cy="258"/>
            <a:chOff x="259" y="84"/>
            <a:chExt cx="499" cy="258"/>
          </a:xfrm>
          <a:solidFill>
            <a:srgbClr val="FFFFFF"/>
          </a:solidFill>
        </xdr:grpSpPr>
        <xdr:sp>
          <xdr:nvSpPr>
            <xdr:cNvPr id="4" name="TextBox 1"/>
            <xdr:cNvSpPr txBox="1">
              <a:spLocks noChangeArrowheads="1"/>
            </xdr:cNvSpPr>
          </xdr:nvSpPr>
          <xdr:spPr>
            <a:xfrm>
              <a:off x="259" y="84"/>
              <a:ext cx="399" cy="2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Purchase Price
Acquisition Costs
Acquisition Cap Rate
Initial Investment
Cost Recovery Value of Improvements
Useful Life
11 1/2 Month Year Cost Recovery Deduction
Full Year Cost Recovery Deduction
Disposition Cap Rate
Projected End of Year 10 Sale Price
Projected End of Year 10 Cost of Sale</a:t>
              </a:r>
            </a:p>
          </xdr:txBody>
        </xdr:sp>
        <xdr:grpSp>
          <xdr:nvGrpSpPr>
            <xdr:cNvPr id="5" name="Group 14"/>
            <xdr:cNvGrpSpPr>
              <a:grpSpLocks/>
            </xdr:cNvGrpSpPr>
          </xdr:nvGrpSpPr>
          <xdr:grpSpPr>
            <a:xfrm>
              <a:off x="643" y="85"/>
              <a:ext cx="115" cy="233"/>
              <a:chOff x="650" y="85"/>
              <a:chExt cx="115" cy="233"/>
            </a:xfrm>
            <a:solidFill>
              <a:srgbClr val="FFFFFF"/>
            </a:solidFill>
          </xdr:grpSpPr>
          <xdr:sp textlink="$D$63">
            <xdr:nvSpPr>
              <xdr:cNvPr id="6" name="TextBox 3"/>
              <xdr:cNvSpPr txBox="1">
                <a:spLocks noChangeArrowheads="1"/>
              </xdr:cNvSpPr>
            </xdr:nvSpPr>
            <xdr:spPr>
              <a:xfrm>
                <a:off x="650" y="85"/>
                <a:ext cx="115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6eec9d88-cd95-472e-a00f-135a7793ef35}" type="TxLink">
                  <a:rPr lang="en-US" cap="none" sz="1200" b="1" i="0" u="none" baseline="0"/>
                  <a:t>$650,000 </a:t>
                </a:fld>
              </a:p>
            </xdr:txBody>
          </xdr:sp>
          <xdr:sp textlink="$D$64">
            <xdr:nvSpPr>
              <xdr:cNvPr id="7" name="TextBox 4"/>
              <xdr:cNvSpPr txBox="1">
                <a:spLocks noChangeArrowheads="1"/>
              </xdr:cNvSpPr>
            </xdr:nvSpPr>
            <xdr:spPr>
              <a:xfrm>
                <a:off x="664" y="105"/>
                <a:ext cx="10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1bbda015-5d26-4be9-9d27-c8d65b23acc4}" type="TxLink">
                  <a:rPr lang="en-US" cap="none" sz="1200" b="1" i="0" u="none" baseline="0"/>
                  <a:t>$0 </a:t>
                </a:fld>
              </a:p>
            </xdr:txBody>
          </xdr:sp>
          <xdr:sp textlink="$D$65">
            <xdr:nvSpPr>
              <xdr:cNvPr id="8" name="TextBox 5"/>
              <xdr:cNvSpPr txBox="1">
                <a:spLocks noChangeArrowheads="1"/>
              </xdr:cNvSpPr>
            </xdr:nvSpPr>
            <xdr:spPr>
              <a:xfrm>
                <a:off x="678" y="126"/>
                <a:ext cx="87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88c03413-8351-4f57-aed8-7cf8e05eda1c}" type="TxLink">
                  <a:rPr lang="en-US" cap="none" sz="1200" b="1" i="0" u="none" baseline="0"/>
                  <a:t>8.54%</a:t>
                </a:fld>
              </a:p>
            </xdr:txBody>
          </xdr:sp>
          <xdr:sp textlink="$D$66">
            <xdr:nvSpPr>
              <xdr:cNvPr id="9" name="TextBox 6"/>
              <xdr:cNvSpPr txBox="1">
                <a:spLocks noChangeArrowheads="1"/>
              </xdr:cNvSpPr>
            </xdr:nvSpPr>
            <xdr:spPr>
              <a:xfrm>
                <a:off x="664" y="147"/>
                <a:ext cx="10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08934d26-789f-4c67-aa5a-d6c2eef8f9d2}" type="TxLink">
                  <a:rPr lang="en-US" cap="none" sz="1200" b="1" i="0" u="none" baseline="0"/>
                  <a:t>$135,200 </a:t>
                </a:fld>
              </a:p>
            </xdr:txBody>
          </xdr:sp>
          <xdr:sp textlink="$D$67">
            <xdr:nvSpPr>
              <xdr:cNvPr id="10" name="TextBox 7"/>
              <xdr:cNvSpPr txBox="1">
                <a:spLocks noChangeArrowheads="1"/>
              </xdr:cNvSpPr>
            </xdr:nvSpPr>
            <xdr:spPr>
              <a:xfrm>
                <a:off x="650" y="168"/>
                <a:ext cx="115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f7f3fc8c-2422-43b7-8e39-06d71e1dee3e}" type="TxLink">
                  <a:rPr lang="en-US" cap="none" sz="1200" b="1" i="0" u="none" baseline="0"/>
                  <a:t>$520,000 </a:t>
                </a:fld>
              </a:p>
            </xdr:txBody>
          </xdr:sp>
          <xdr:sp textlink="$D$68">
            <xdr:nvSpPr>
              <xdr:cNvPr id="11" name="TextBox 8"/>
              <xdr:cNvSpPr txBox="1">
                <a:spLocks noChangeArrowheads="1"/>
              </xdr:cNvSpPr>
            </xdr:nvSpPr>
            <xdr:spPr>
              <a:xfrm>
                <a:off x="704" y="189"/>
                <a:ext cx="6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6d76ca42-5c1d-47fc-a50f-b9a46bb1297a}" type="TxLink">
                  <a:rPr lang="en-US" cap="none" sz="1200" b="1" i="0" u="none" baseline="0"/>
                  <a:t>27.5 </a:t>
                </a:fld>
              </a:p>
            </xdr:txBody>
          </xdr:sp>
          <xdr:sp textlink="$D$69">
            <xdr:nvSpPr>
              <xdr:cNvPr id="12" name="TextBox 9"/>
              <xdr:cNvSpPr txBox="1">
                <a:spLocks noChangeArrowheads="1"/>
              </xdr:cNvSpPr>
            </xdr:nvSpPr>
            <xdr:spPr>
              <a:xfrm>
                <a:off x="664" y="210"/>
                <a:ext cx="10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a3c19321-3cac-42d5-80be-df0d9452b5b5}" type="TxLink">
                  <a:rPr lang="en-US" cap="none" sz="1200" b="1" i="0" u="none" baseline="0"/>
                  <a:t>$18,122 </a:t>
                </a:fld>
              </a:p>
            </xdr:txBody>
          </xdr:sp>
          <xdr:sp textlink="$D$70">
            <xdr:nvSpPr>
              <xdr:cNvPr id="13" name="TextBox 10"/>
              <xdr:cNvSpPr txBox="1">
                <a:spLocks noChangeArrowheads="1"/>
              </xdr:cNvSpPr>
            </xdr:nvSpPr>
            <xdr:spPr>
              <a:xfrm>
                <a:off x="664" y="231"/>
                <a:ext cx="10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b0c71a68-2d27-4722-9863-6c6259907cd9}" type="TxLink">
                  <a:rPr lang="en-US" cap="none" sz="1200" b="1" i="0" u="none" baseline="0"/>
                  <a:t>$18,907 </a:t>
                </a:fld>
              </a:p>
            </xdr:txBody>
          </xdr:sp>
          <xdr:sp textlink="$D$71">
            <xdr:nvSpPr>
              <xdr:cNvPr id="14" name="TextBox 11"/>
              <xdr:cNvSpPr txBox="1">
                <a:spLocks noChangeArrowheads="1"/>
              </xdr:cNvSpPr>
            </xdr:nvSpPr>
            <xdr:spPr>
              <a:xfrm>
                <a:off x="678" y="252"/>
                <a:ext cx="87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f016777f-4664-4b20-abec-f9c47bb60ac4}" type="TxLink">
                  <a:rPr lang="en-US" cap="none" sz="1200" b="1" i="0" u="none" baseline="0"/>
                  <a:t>10.00%</a:t>
                </a:fld>
              </a:p>
            </xdr:txBody>
          </xdr:sp>
          <xdr:sp textlink="$D$72">
            <xdr:nvSpPr>
              <xdr:cNvPr id="15" name="TextBox 12"/>
              <xdr:cNvSpPr txBox="1">
                <a:spLocks noChangeArrowheads="1"/>
              </xdr:cNvSpPr>
            </xdr:nvSpPr>
            <xdr:spPr>
              <a:xfrm>
                <a:off x="650" y="273"/>
                <a:ext cx="115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da98e396-c031-4cc9-864e-d8573fd629fa}" type="TxLink">
                  <a:rPr lang="en-US" cap="none" sz="1200" b="1" i="0" u="none" baseline="0"/>
                  <a:t>$760,566 </a:t>
                </a:fld>
              </a:p>
            </xdr:txBody>
          </xdr:sp>
          <xdr:sp textlink="$D$73">
            <xdr:nvSpPr>
              <xdr:cNvPr id="16" name="TextBox 13"/>
              <xdr:cNvSpPr txBox="1">
                <a:spLocks noChangeArrowheads="1"/>
              </xdr:cNvSpPr>
            </xdr:nvSpPr>
            <xdr:spPr>
              <a:xfrm>
                <a:off x="664" y="294"/>
                <a:ext cx="10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5c58e2e6-1988-4f4a-a165-1536090471b2}" type="TxLink">
                  <a:rPr lang="en-US" cap="none" sz="1200" b="1" i="0" u="none" baseline="0"/>
                  <a:t>$53,240 </a:t>
                </a:fld>
              </a:p>
            </xdr:txBody>
          </xdr:sp>
        </xdr:grpSp>
      </xdr:grpSp>
      <xdr:sp>
        <xdr:nvSpPr>
          <xdr:cNvPr id="17" name="TextBox 40"/>
          <xdr:cNvSpPr txBox="1">
            <a:spLocks noChangeArrowheads="1"/>
          </xdr:cNvSpPr>
        </xdr:nvSpPr>
        <xdr:spPr>
          <a:xfrm>
            <a:off x="384" y="70"/>
            <a:ext cx="21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1" u="dbl" baseline="0">
                <a:solidFill>
                  <a:srgbClr val="0000FF"/>
                </a:solidFill>
              </a:rPr>
              <a:t>Property Information</a:t>
            </a:r>
          </a:p>
        </xdr:txBody>
      </xdr:sp>
    </xdr:grpSp>
    <xdr:clientData/>
  </xdr:twoCellAnchor>
  <xdr:twoCellAnchor>
    <xdr:from>
      <xdr:col>2</xdr:col>
      <xdr:colOff>266700</xdr:colOff>
      <xdr:row>24</xdr:row>
      <xdr:rowOff>28575</xdr:rowOff>
    </xdr:from>
    <xdr:to>
      <xdr:col>8</xdr:col>
      <xdr:colOff>9525</xdr:colOff>
      <xdr:row>42</xdr:row>
      <xdr:rowOff>9525</xdr:rowOff>
    </xdr:to>
    <xdr:grpSp>
      <xdr:nvGrpSpPr>
        <xdr:cNvPr id="18" name="Group 46"/>
        <xdr:cNvGrpSpPr>
          <a:grpSpLocks/>
        </xdr:cNvGrpSpPr>
      </xdr:nvGrpSpPr>
      <xdr:grpSpPr>
        <a:xfrm>
          <a:off x="1485900" y="3914775"/>
          <a:ext cx="6600825" cy="2895600"/>
          <a:chOff x="56" y="370"/>
          <a:chExt cx="693" cy="304"/>
        </a:xfrm>
        <a:solidFill>
          <a:srgbClr val="FFFFFF"/>
        </a:solidFill>
      </xdr:grpSpPr>
      <xdr:sp>
        <xdr:nvSpPr>
          <xdr:cNvPr id="19" name="TextBox 41"/>
          <xdr:cNvSpPr txBox="1">
            <a:spLocks noChangeArrowheads="1"/>
          </xdr:cNvSpPr>
        </xdr:nvSpPr>
        <xdr:spPr>
          <a:xfrm>
            <a:off x="280" y="370"/>
            <a:ext cx="224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600" b="0" i="1" u="dbl" baseline="0">
                <a:solidFill>
                  <a:srgbClr val="0000FF"/>
                </a:solidFill>
              </a:rPr>
              <a:t>Financing Information</a:t>
            </a:r>
          </a:p>
        </xdr:txBody>
      </xdr:sp>
      <xdr:grpSp>
        <xdr:nvGrpSpPr>
          <xdr:cNvPr id="20" name="Group 45"/>
          <xdr:cNvGrpSpPr>
            <a:grpSpLocks/>
          </xdr:cNvGrpSpPr>
        </xdr:nvGrpSpPr>
        <xdr:grpSpPr>
          <a:xfrm>
            <a:off x="56" y="405"/>
            <a:ext cx="693" cy="269"/>
            <a:chOff x="56" y="405"/>
            <a:chExt cx="693" cy="269"/>
          </a:xfrm>
          <a:solidFill>
            <a:srgbClr val="FFFFFF"/>
          </a:solidFill>
        </xdr:grpSpPr>
        <xdr:sp>
          <xdr:nvSpPr>
            <xdr:cNvPr id="21" name="TextBox 2"/>
            <xdr:cNvSpPr txBox="1">
              <a:spLocks noChangeArrowheads="1"/>
            </xdr:cNvSpPr>
          </xdr:nvSpPr>
          <xdr:spPr>
            <a:xfrm>
              <a:off x="56" y="440"/>
              <a:ext cx="352" cy="2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Projected Year of Refinance (End of Year)
Loan Amount
Interest Rate
Payments Per Year
Periodic Payment
Annual Debt Service
Amortization Period
Term
Loan Costs
Effective Cost of Borrowed Funds</a:t>
              </a:r>
            </a:p>
          </xdr:txBody>
        </xdr:sp>
        <xdr:grpSp>
          <xdr:nvGrpSpPr>
            <xdr:cNvPr id="22" name="Group 37"/>
            <xdr:cNvGrpSpPr>
              <a:grpSpLocks/>
            </xdr:cNvGrpSpPr>
          </xdr:nvGrpSpPr>
          <xdr:grpSpPr>
            <a:xfrm>
              <a:off x="613" y="440"/>
              <a:ext cx="123" cy="213"/>
              <a:chOff x="689" y="440"/>
              <a:chExt cx="123" cy="213"/>
            </a:xfrm>
            <a:solidFill>
              <a:srgbClr val="FFFFFF"/>
            </a:solidFill>
          </xdr:grpSpPr>
          <xdr:sp textlink="$D$88">
            <xdr:nvSpPr>
              <xdr:cNvPr id="23" name="TextBox 25"/>
              <xdr:cNvSpPr txBox="1">
                <a:spLocks noChangeArrowheads="1"/>
              </xdr:cNvSpPr>
            </xdr:nvSpPr>
            <xdr:spPr>
              <a:xfrm>
                <a:off x="785" y="440"/>
                <a:ext cx="27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5ce5ef6b-f24f-44bb-80d4-e02c0e96f3bf}" type="TxLink">
                  <a:rPr lang="en-US" cap="none" sz="1200" b="1" i="0" u="none" baseline="0"/>
                  <a:t>0 </a:t>
                </a:fld>
              </a:p>
            </xdr:txBody>
          </xdr:sp>
          <xdr:sp textlink="$D$89">
            <xdr:nvSpPr>
              <xdr:cNvPr id="24" name="TextBox 26"/>
              <xdr:cNvSpPr txBox="1">
                <a:spLocks noChangeArrowheads="1"/>
              </xdr:cNvSpPr>
            </xdr:nvSpPr>
            <xdr:spPr>
              <a:xfrm>
                <a:off x="696" y="461"/>
                <a:ext cx="116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11fb6d02-3241-4f02-931c-906a9b448b44}" type="TxLink">
                  <a:rPr lang="en-US" cap="none" sz="1200" b="1" i="0" u="none" baseline="0"/>
                  <a:t>$0 </a:t>
                </a:fld>
              </a:p>
            </xdr:txBody>
          </xdr:sp>
          <xdr:sp textlink="$D$90">
            <xdr:nvSpPr>
              <xdr:cNvPr id="25" name="TextBox 27"/>
              <xdr:cNvSpPr txBox="1">
                <a:spLocks noChangeArrowheads="1"/>
              </xdr:cNvSpPr>
            </xdr:nvSpPr>
            <xdr:spPr>
              <a:xfrm>
                <a:off x="725" y="482"/>
                <a:ext cx="87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37f55010-75d3-4035-9319-272ea60a86a1}" type="TxLink">
                  <a:rPr lang="en-US" cap="none" sz="1200" b="1" i="0" u="none" baseline="0"/>
                  <a:t>0.00%</a:t>
                </a:fld>
              </a:p>
            </xdr:txBody>
          </xdr:sp>
          <xdr:sp textlink="$D$91">
            <xdr:nvSpPr>
              <xdr:cNvPr id="26" name="TextBox 28"/>
              <xdr:cNvSpPr txBox="1">
                <a:spLocks noChangeArrowheads="1"/>
              </xdr:cNvSpPr>
            </xdr:nvSpPr>
            <xdr:spPr>
              <a:xfrm>
                <a:off x="771" y="503"/>
                <a:ext cx="4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6ec16f09-50a2-4d35-8904-f097a8899400}" type="TxLink">
                  <a:rPr lang="en-US" cap="none" sz="1200" b="1" i="0" u="none" baseline="0"/>
                  <a:t>12 </a:t>
                </a:fld>
              </a:p>
            </xdr:txBody>
          </xdr:sp>
          <xdr:sp textlink="$D$92">
            <xdr:nvSpPr>
              <xdr:cNvPr id="27" name="TextBox 29"/>
              <xdr:cNvSpPr txBox="1">
                <a:spLocks noChangeArrowheads="1"/>
              </xdr:cNvSpPr>
            </xdr:nvSpPr>
            <xdr:spPr>
              <a:xfrm>
                <a:off x="689" y="524"/>
                <a:ext cx="123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ae74e60f-9267-42ca-a9af-e1686955a244}" type="TxLink">
                  <a:rPr lang="en-US" cap="none" sz="1200" b="1" i="0" u="none" baseline="0"/>
                  <a:t>$0.00 </a:t>
                </a:fld>
              </a:p>
            </xdr:txBody>
          </xdr:sp>
          <xdr:sp textlink="$D$93">
            <xdr:nvSpPr>
              <xdr:cNvPr id="28" name="TextBox 30"/>
              <xdr:cNvSpPr txBox="1">
                <a:spLocks noChangeArrowheads="1"/>
              </xdr:cNvSpPr>
            </xdr:nvSpPr>
            <xdr:spPr>
              <a:xfrm>
                <a:off x="709" y="545"/>
                <a:ext cx="103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25c2d609-a405-4d55-abca-fad448ec2685}" type="TxLink">
                  <a:rPr lang="en-US" cap="none" sz="1200" b="1" i="0" u="none" baseline="0"/>
                  <a:t>$0 </a:t>
                </a:fld>
              </a:p>
            </xdr:txBody>
          </xdr:sp>
          <xdr:sp textlink="$D$94">
            <xdr:nvSpPr>
              <xdr:cNvPr id="29" name="TextBox 31"/>
              <xdr:cNvSpPr txBox="1">
                <a:spLocks noChangeArrowheads="1"/>
              </xdr:cNvSpPr>
            </xdr:nvSpPr>
            <xdr:spPr>
              <a:xfrm>
                <a:off x="771" y="566"/>
                <a:ext cx="4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51ab8238-ab62-4532-b36e-75be6bd04487}" type="TxLink">
                  <a:rPr lang="en-US" cap="none" sz="1200" b="1" i="0" u="none" baseline="0"/>
                  <a:t>25 </a:t>
                </a:fld>
              </a:p>
            </xdr:txBody>
          </xdr:sp>
          <xdr:sp textlink="$D$95">
            <xdr:nvSpPr>
              <xdr:cNvPr id="30" name="TextBox 32"/>
              <xdr:cNvSpPr txBox="1">
                <a:spLocks noChangeArrowheads="1"/>
              </xdr:cNvSpPr>
            </xdr:nvSpPr>
            <xdr:spPr>
              <a:xfrm>
                <a:off x="771" y="587"/>
                <a:ext cx="41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5a7b4660-7ec9-41ff-a0ee-194522d0722f}" type="TxLink">
                  <a:rPr lang="en-US" cap="none" sz="1200" b="1" i="0" u="none" baseline="0"/>
                  <a:t>25 </a:t>
                </a:fld>
              </a:p>
            </xdr:txBody>
          </xdr:sp>
          <xdr:sp textlink="$D$96">
            <xdr:nvSpPr>
              <xdr:cNvPr id="31" name="TextBox 33"/>
              <xdr:cNvSpPr txBox="1">
                <a:spLocks noChangeArrowheads="1"/>
              </xdr:cNvSpPr>
            </xdr:nvSpPr>
            <xdr:spPr>
              <a:xfrm>
                <a:off x="723" y="608"/>
                <a:ext cx="89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cde169fa-f4c8-4313-b22b-e9545042cdaf}" type="TxLink">
                  <a:rPr lang="en-US" cap="none" sz="1200" b="1" i="0" u="none" baseline="0"/>
                  <a:t>$0 </a:t>
                </a:fld>
              </a:p>
            </xdr:txBody>
          </xdr:sp>
          <xdr:sp textlink="$D$97">
            <xdr:nvSpPr>
              <xdr:cNvPr id="32" name="TextBox 34"/>
              <xdr:cNvSpPr txBox="1">
                <a:spLocks noChangeArrowheads="1"/>
              </xdr:cNvSpPr>
            </xdr:nvSpPr>
            <xdr:spPr>
              <a:xfrm>
                <a:off x="725" y="629"/>
                <a:ext cx="87" cy="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r">
                  <a:defRPr/>
                </a:pPr>
                <a:fld id="{eab7ae40-c240-4fe4-b310-507db9a2eea8}" type="TxLink">
                  <a:rPr lang="en-US" cap="none" sz="1200" b="1" i="0" u="none" baseline="0"/>
                  <a:t>0.00%</a:t>
                </a:fld>
              </a:p>
            </xdr:txBody>
          </xdr:sp>
        </xdr:grpSp>
        <xdr:grpSp>
          <xdr:nvGrpSpPr>
            <xdr:cNvPr id="33" name="Group 39"/>
            <xdr:cNvGrpSpPr>
              <a:grpSpLocks/>
            </xdr:cNvGrpSpPr>
          </xdr:nvGrpSpPr>
          <xdr:grpSpPr>
            <a:xfrm>
              <a:off x="432" y="440"/>
              <a:ext cx="122" cy="213"/>
              <a:chOff x="468" y="440"/>
              <a:chExt cx="122" cy="213"/>
            </a:xfrm>
            <a:solidFill>
              <a:srgbClr val="FFFFFF"/>
            </a:solidFill>
          </xdr:grpSpPr>
          <xdr:grpSp>
            <xdr:nvGrpSpPr>
              <xdr:cNvPr id="34" name="Group 36"/>
              <xdr:cNvGrpSpPr>
                <a:grpSpLocks/>
              </xdr:cNvGrpSpPr>
            </xdr:nvGrpSpPr>
            <xdr:grpSpPr>
              <a:xfrm>
                <a:off x="468" y="461"/>
                <a:ext cx="122" cy="192"/>
                <a:chOff x="468" y="461"/>
                <a:chExt cx="122" cy="192"/>
              </a:xfrm>
              <a:solidFill>
                <a:srgbClr val="FFFFFF"/>
              </a:solidFill>
            </xdr:grpSpPr>
            <xdr:sp textlink="$D$77">
              <xdr:nvSpPr>
                <xdr:cNvPr id="35" name="TextBox 16"/>
                <xdr:cNvSpPr txBox="1">
                  <a:spLocks noChangeArrowheads="1"/>
                </xdr:cNvSpPr>
              </xdr:nvSpPr>
              <xdr:spPr>
                <a:xfrm>
                  <a:off x="475" y="461"/>
                  <a:ext cx="115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337be8da-1afa-481a-8b67-3fad3b79db6c}" type="TxLink">
                    <a:rPr lang="en-US" cap="none" sz="1200" b="1" i="0" u="none" baseline="0"/>
                    <a:t>$520,000 </a:t>
                  </a:fld>
                </a:p>
              </xdr:txBody>
            </xdr:sp>
            <xdr:sp textlink="$D$78">
              <xdr:nvSpPr>
                <xdr:cNvPr id="36" name="TextBox 17"/>
                <xdr:cNvSpPr txBox="1">
                  <a:spLocks noChangeArrowheads="1"/>
                </xdr:cNvSpPr>
              </xdr:nvSpPr>
              <xdr:spPr>
                <a:xfrm>
                  <a:off x="503" y="482"/>
                  <a:ext cx="87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830ecd04-2245-4a20-a102-de56d755edba}" type="TxLink">
                    <a:rPr lang="en-US" cap="none" sz="1200" b="1" i="0" u="none" baseline="0"/>
                    <a:t>8.25%</a:t>
                  </a:fld>
                </a:p>
              </xdr:txBody>
            </xdr:sp>
            <xdr:sp textlink="$D$79">
              <xdr:nvSpPr>
                <xdr:cNvPr id="37" name="TextBox 18"/>
                <xdr:cNvSpPr txBox="1">
                  <a:spLocks noChangeArrowheads="1"/>
                </xdr:cNvSpPr>
              </xdr:nvSpPr>
              <xdr:spPr>
                <a:xfrm>
                  <a:off x="549" y="503"/>
                  <a:ext cx="41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d853a14e-276a-43ed-b6de-8cad94ed5c2e}" type="TxLink">
                    <a:rPr lang="en-US" cap="none" sz="1200" b="1" i="0" u="none" baseline="0"/>
                    <a:t>12 </a:t>
                  </a:fld>
                </a:p>
              </xdr:txBody>
            </xdr:sp>
            <xdr:sp textlink="$D$80">
              <xdr:nvSpPr>
                <xdr:cNvPr id="38" name="TextBox 19"/>
                <xdr:cNvSpPr txBox="1">
                  <a:spLocks noChangeArrowheads="1"/>
                </xdr:cNvSpPr>
              </xdr:nvSpPr>
              <xdr:spPr>
                <a:xfrm>
                  <a:off x="468" y="524"/>
                  <a:ext cx="12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35977233-485d-488c-847f-6dba23ff0a78}" type="TxLink">
                    <a:rPr lang="en-US" cap="none" sz="1200" b="1" i="0" u="none" baseline="0"/>
                    <a:t>$4,099.94 </a:t>
                  </a:fld>
                </a:p>
              </xdr:txBody>
            </xdr:sp>
            <xdr:sp textlink="$D$81">
              <xdr:nvSpPr>
                <xdr:cNvPr id="39" name="TextBox 20"/>
                <xdr:cNvSpPr txBox="1">
                  <a:spLocks noChangeArrowheads="1"/>
                </xdr:cNvSpPr>
              </xdr:nvSpPr>
              <xdr:spPr>
                <a:xfrm>
                  <a:off x="488" y="545"/>
                  <a:ext cx="10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c7a2f016-a14e-4c52-8674-aaa00443bf6d}" type="TxLink">
                    <a:rPr lang="en-US" cap="none" sz="1200" b="1" i="0" u="none" baseline="0"/>
                    <a:t>$49,199 </a:t>
                  </a:fld>
                </a:p>
              </xdr:txBody>
            </xdr:sp>
            <xdr:sp textlink="$D$82">
              <xdr:nvSpPr>
                <xdr:cNvPr id="40" name="TextBox 21"/>
                <xdr:cNvSpPr txBox="1">
                  <a:spLocks noChangeArrowheads="1"/>
                </xdr:cNvSpPr>
              </xdr:nvSpPr>
              <xdr:spPr>
                <a:xfrm>
                  <a:off x="549" y="566"/>
                  <a:ext cx="41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776065f3-1381-475d-a566-d0066b31596a}" type="TxLink">
                    <a:rPr lang="en-US" cap="none" sz="1200" b="1" i="0" u="none" baseline="0"/>
                    <a:t>25 </a:t>
                  </a:fld>
                </a:p>
              </xdr:txBody>
            </xdr:sp>
            <xdr:sp textlink="$D$83">
              <xdr:nvSpPr>
                <xdr:cNvPr id="41" name="TextBox 22"/>
                <xdr:cNvSpPr txBox="1">
                  <a:spLocks noChangeArrowheads="1"/>
                </xdr:cNvSpPr>
              </xdr:nvSpPr>
              <xdr:spPr>
                <a:xfrm>
                  <a:off x="549" y="587"/>
                  <a:ext cx="41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fa7531bd-3964-4554-b395-0db9fabc5e08}" type="TxLink">
                    <a:rPr lang="en-US" cap="none" sz="1200" b="1" i="0" u="none" baseline="0"/>
                    <a:t>25 </a:t>
                  </a:fld>
                </a:p>
              </xdr:txBody>
            </xdr:sp>
            <xdr:sp textlink="$D$84">
              <xdr:nvSpPr>
                <xdr:cNvPr id="42" name="TextBox 23"/>
                <xdr:cNvSpPr txBox="1">
                  <a:spLocks noChangeArrowheads="1"/>
                </xdr:cNvSpPr>
              </xdr:nvSpPr>
              <xdr:spPr>
                <a:xfrm>
                  <a:off x="502" y="608"/>
                  <a:ext cx="88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2a865da0-4690-4542-87c9-1ff69a245395}" type="TxLink">
                    <a:rPr lang="en-US" cap="none" sz="1200" b="1" i="0" u="none" baseline="0"/>
                    <a:t>$5,200 </a:t>
                  </a:fld>
                </a:p>
              </xdr:txBody>
            </xdr:sp>
            <xdr:sp textlink="$D$85">
              <xdr:nvSpPr>
                <xdr:cNvPr id="43" name="TextBox 24"/>
                <xdr:cNvSpPr txBox="1">
                  <a:spLocks noChangeArrowheads="1"/>
                </xdr:cNvSpPr>
              </xdr:nvSpPr>
              <xdr:spPr>
                <a:xfrm>
                  <a:off x="503" y="629"/>
                  <a:ext cx="87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r">
                    <a:defRPr/>
                  </a:pPr>
                  <a:fld id="{71242d94-3d56-494d-ac46-ce254fa61e7d}" type="TxLink">
                    <a:rPr lang="en-US" cap="none" sz="1200" b="1" i="0" u="none" baseline="0"/>
                    <a:t>8.41%</a:t>
                  </a:fld>
                </a:p>
              </xdr:txBody>
            </xdr:sp>
          </xdr:grpSp>
          <xdr:sp>
            <xdr:nvSpPr>
              <xdr:cNvPr id="44" name="TextBox 38"/>
              <xdr:cNvSpPr txBox="1">
                <a:spLocks noChangeArrowheads="1"/>
              </xdr:cNvSpPr>
            </xdr:nvSpPr>
            <xdr:spPr>
              <a:xfrm>
                <a:off x="547" y="440"/>
                <a:ext cx="4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r">
                  <a:defRPr/>
                </a:pPr>
                <a:r>
                  <a:rPr lang="en-US" cap="none" sz="1200" b="1" i="0" u="none" baseline="0"/>
                  <a:t>N/A</a:t>
                </a:r>
              </a:p>
            </xdr:txBody>
          </xdr:sp>
        </xdr:grpSp>
        <xdr:sp>
          <xdr:nvSpPr>
            <xdr:cNvPr id="45" name="TextBox 42"/>
            <xdr:cNvSpPr txBox="1">
              <a:spLocks noChangeArrowheads="1"/>
            </xdr:cNvSpPr>
          </xdr:nvSpPr>
          <xdr:spPr>
            <a:xfrm>
              <a:off x="459" y="405"/>
              <a:ext cx="116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1" u="dbl" baseline="0">
                  <a:solidFill>
                    <a:srgbClr val="FF0000"/>
                  </a:solidFill>
                </a:rPr>
                <a:t>Acquisition</a:t>
              </a:r>
            </a:p>
          </xdr:txBody>
        </xdr:sp>
        <xdr:sp>
          <xdr:nvSpPr>
            <xdr:cNvPr id="46" name="TextBox 43"/>
            <xdr:cNvSpPr txBox="1">
              <a:spLocks noChangeArrowheads="1"/>
            </xdr:cNvSpPr>
          </xdr:nvSpPr>
          <xdr:spPr>
            <a:xfrm>
              <a:off x="644" y="405"/>
              <a:ext cx="105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1" u="dbl" baseline="0">
                  <a:solidFill>
                    <a:srgbClr val="FF0000"/>
                  </a:solidFill>
                </a:rPr>
                <a:t>Refinance</a:t>
              </a:r>
            </a:p>
          </xdr:txBody>
        </xdr:sp>
      </xdr:grpSp>
    </xdr:grpSp>
    <xdr:clientData/>
  </xdr:twoCellAnchor>
  <xdr:twoCellAnchor>
    <xdr:from>
      <xdr:col>0</xdr:col>
      <xdr:colOff>257175</xdr:colOff>
      <xdr:row>0</xdr:row>
      <xdr:rowOff>133350</xdr:rowOff>
    </xdr:from>
    <xdr:to>
      <xdr:col>10</xdr:col>
      <xdr:colOff>28575</xdr:colOff>
      <xdr:row>4</xdr:row>
      <xdr:rowOff>76200</xdr:rowOff>
    </xdr:to>
    <xdr:sp>
      <xdr:nvSpPr>
        <xdr:cNvPr id="47" name="Rectangle 50"/>
        <xdr:cNvSpPr>
          <a:spLocks/>
        </xdr:cNvSpPr>
      </xdr:nvSpPr>
      <xdr:spPr>
        <a:xfrm>
          <a:off x="257175" y="133350"/>
          <a:ext cx="9067800" cy="590550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1" u="none" baseline="0">
              <a:solidFill>
                <a:srgbClr val="0000FF"/>
              </a:solidFill>
            </a:rPr>
            <a:t>Acquisition Information Summary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22</xdr:row>
      <xdr:rowOff>123825</xdr:rowOff>
    </xdr:from>
    <xdr:to>
      <xdr:col>11</xdr:col>
      <xdr:colOff>9525</xdr:colOff>
      <xdr:row>41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00025" y="3724275"/>
          <a:ext cx="9210675" cy="3057525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152400</xdr:rowOff>
    </xdr:from>
    <xdr:to>
      <xdr:col>11</xdr:col>
      <xdr:colOff>9525</xdr:colOff>
      <xdr:row>21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00025" y="152400"/>
          <a:ext cx="9210675" cy="3409950"/>
        </a:xfrm>
        <a:prstGeom prst="roundRect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447675</xdr:colOff>
      <xdr:row>25</xdr:row>
      <xdr:rowOff>142875</xdr:rowOff>
    </xdr:from>
    <xdr:ext cx="3552825" cy="2400300"/>
    <xdr:sp>
      <xdr:nvSpPr>
        <xdr:cNvPr id="3" name="TextBox 4"/>
        <xdr:cNvSpPr txBox="1">
          <a:spLocks noChangeArrowheads="1"/>
        </xdr:cNvSpPr>
      </xdr:nvSpPr>
      <xdr:spPr>
        <a:xfrm>
          <a:off x="1057275" y="4229100"/>
          <a:ext cx="35528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2200" b="0" i="0" u="none" baseline="0"/>
            <a:t> Sale Price
-Cost of Sale
-Adjusted Basis
 Total Gain
-Total Cost Recovery Taken
 Capital Gain
 Unamortized Loan Costs </a:t>
          </a:r>
        </a:p>
      </xdr:txBody>
    </xdr:sp>
    <xdr:clientData/>
  </xdr:oneCellAnchor>
  <xdr:twoCellAnchor>
    <xdr:from>
      <xdr:col>1</xdr:col>
      <xdr:colOff>447675</xdr:colOff>
      <xdr:row>4</xdr:row>
      <xdr:rowOff>28575</xdr:rowOff>
    </xdr:from>
    <xdr:to>
      <xdr:col>6</xdr:col>
      <xdr:colOff>219075</xdr:colOff>
      <xdr:row>21</xdr:row>
      <xdr:rowOff>9525</xdr:rowOff>
    </xdr:to>
    <xdr:grpSp>
      <xdr:nvGrpSpPr>
        <xdr:cNvPr id="4" name="Group 35"/>
        <xdr:cNvGrpSpPr>
          <a:grpSpLocks/>
        </xdr:cNvGrpSpPr>
      </xdr:nvGrpSpPr>
      <xdr:grpSpPr>
        <a:xfrm>
          <a:off x="1057275" y="676275"/>
          <a:ext cx="5514975" cy="2733675"/>
          <a:chOff x="59" y="71"/>
          <a:chExt cx="576" cy="287"/>
        </a:xfrm>
        <a:solidFill>
          <a:srgbClr val="FFFFFF"/>
        </a:solidFill>
      </xdr:grpSpPr>
      <xdr:sp>
        <xdr:nvSpPr>
          <xdr:cNvPr id="5" name="TextBox 3"/>
          <xdr:cNvSpPr txBox="1">
            <a:spLocks noChangeArrowheads="1"/>
          </xdr:cNvSpPr>
        </xdr:nvSpPr>
        <xdr:spPr>
          <a:xfrm>
            <a:off x="59" y="71"/>
            <a:ext cx="466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l">
              <a:defRPr/>
            </a:pPr>
            <a:r>
              <a:rPr lang="en-US" cap="none" sz="2200" b="0" i="0" u="none" baseline="0">
                <a:latin typeface="Tahoma"/>
                <a:ea typeface="Tahoma"/>
                <a:cs typeface="Tahoma"/>
              </a:rPr>
              <a:t> Sale Price
-Cost of Sale
-Mortgage Balance
 Sale Proceeds Before Tax
-Tax on Cost Recovery Recapture
-Tax on Capital Gain
-Tax (Savings) on Ordinary Income
</a:t>
            </a:r>
            <a:r>
              <a:rPr lang="en-US" cap="none" sz="2200" b="0" i="1" u="none" baseline="0">
                <a:solidFill>
                  <a:srgbClr val="0000FF"/>
                </a:solidFill>
                <a:latin typeface="Tahoma"/>
                <a:ea typeface="Tahoma"/>
                <a:cs typeface="Tahoma"/>
              </a:rPr>
              <a:t> Sale Proceeds After Tax </a:t>
            </a:r>
          </a:p>
        </xdr:txBody>
      </xdr:sp>
      <xdr:sp textlink="'Cash Flow IRR Module Inputs'!C6">
        <xdr:nvSpPr>
          <xdr:cNvPr id="6" name="TextBox 5"/>
          <xdr:cNvSpPr txBox="1">
            <a:spLocks noChangeArrowheads="1"/>
          </xdr:cNvSpPr>
        </xdr:nvSpPr>
        <xdr:spPr>
          <a:xfrm>
            <a:off x="471" y="215"/>
            <a:ext cx="13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6ac70e7-1c2b-41cf-8de1-09cf49799661}" type="TxLink">
              <a:rPr lang="en-US" cap="none" sz="2200" b="0" i="0" u="none" baseline="0"/>
              <a:t>25.00%</a:t>
            </a:fld>
          </a:p>
        </xdr:txBody>
      </xdr:sp>
      <xdr:sp textlink="'Cash Flow IRR Module Inputs'!C5">
        <xdr:nvSpPr>
          <xdr:cNvPr id="7" name="TextBox 6"/>
          <xdr:cNvSpPr txBox="1">
            <a:spLocks noChangeArrowheads="1"/>
          </xdr:cNvSpPr>
        </xdr:nvSpPr>
        <xdr:spPr>
          <a:xfrm>
            <a:off x="310" y="252"/>
            <a:ext cx="13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7a259b0f-4a34-4c9b-b79e-0ff83f3826fa}" type="TxLink">
              <a:rPr lang="en-US" cap="none" sz="2200" b="0" i="0" u="none" baseline="0"/>
              <a:t>15.00%</a:t>
            </a:fld>
          </a:p>
        </xdr:txBody>
      </xdr:sp>
      <xdr:sp textlink="'Cash Flow IRR Module Inputs'!C4">
        <xdr:nvSpPr>
          <xdr:cNvPr id="8" name="TextBox 7"/>
          <xdr:cNvSpPr txBox="1">
            <a:spLocks noChangeArrowheads="1"/>
          </xdr:cNvSpPr>
        </xdr:nvSpPr>
        <xdr:spPr>
          <a:xfrm>
            <a:off x="498" y="287"/>
            <a:ext cx="13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b0251544-8a7b-4dc1-a2cf-dc61c67fa7d0}" type="TxLink">
              <a:rPr lang="en-US" cap="none" sz="2200" b="0" i="0" u="none" baseline="0"/>
              <a:t>34.00%</a:t>
            </a:fld>
          </a:p>
        </xdr:txBody>
      </xdr:sp>
    </xdr:grpSp>
    <xdr:clientData/>
  </xdr:twoCellAnchor>
  <xdr:twoCellAnchor>
    <xdr:from>
      <xdr:col>6</xdr:col>
      <xdr:colOff>9525</xdr:colOff>
      <xdr:row>4</xdr:row>
      <xdr:rowOff>19050</xdr:rowOff>
    </xdr:from>
    <xdr:to>
      <xdr:col>9</xdr:col>
      <xdr:colOff>381000</xdr:colOff>
      <xdr:row>21</xdr:row>
      <xdr:rowOff>57150</xdr:rowOff>
    </xdr:to>
    <xdr:grpSp>
      <xdr:nvGrpSpPr>
        <xdr:cNvPr id="9" name="Group 36"/>
        <xdr:cNvGrpSpPr>
          <a:grpSpLocks/>
        </xdr:cNvGrpSpPr>
      </xdr:nvGrpSpPr>
      <xdr:grpSpPr>
        <a:xfrm>
          <a:off x="6362700" y="666750"/>
          <a:ext cx="2200275" cy="2790825"/>
          <a:chOff x="677" y="70"/>
          <a:chExt cx="231" cy="293"/>
        </a:xfrm>
        <a:solidFill>
          <a:srgbClr val="FFFFFF"/>
        </a:solidFill>
      </xdr:grpSpPr>
      <xdr:sp textlink="$D$90">
        <xdr:nvSpPr>
          <xdr:cNvPr id="10" name="TextBox 9"/>
          <xdr:cNvSpPr txBox="1">
            <a:spLocks noChangeArrowheads="1"/>
          </xdr:cNvSpPr>
        </xdr:nvSpPr>
        <xdr:spPr>
          <a:xfrm>
            <a:off x="750" y="286"/>
            <a:ext cx="15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ad0e0634-438a-4cd0-9b1d-180b16c6c3ba}" type="TxLink">
              <a:rPr lang="en-US" cap="none" sz="2200" b="0" i="0" u="none" baseline="0"/>
              <a:t>($1,061)</a:t>
            </a:fld>
          </a:p>
        </xdr:txBody>
      </xdr:sp>
      <xdr:sp textlink="$D$75">
        <xdr:nvSpPr>
          <xdr:cNvPr id="11" name="TextBox 11"/>
          <xdr:cNvSpPr txBox="1">
            <a:spLocks noChangeArrowheads="1"/>
          </xdr:cNvSpPr>
        </xdr:nvSpPr>
        <xdr:spPr>
          <a:xfrm>
            <a:off x="677" y="70"/>
            <a:ext cx="2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f95f029d-3e34-45b4-8c98-4b0eba572332}" type="TxLink">
              <a:rPr lang="en-US" cap="none" sz="2200" b="0" i="0" u="none" baseline="0"/>
              <a:t>$760,566 </a:t>
            </a:fld>
          </a:p>
        </xdr:txBody>
      </xdr:sp>
      <xdr:sp textlink="$D$76">
        <xdr:nvSpPr>
          <xdr:cNvPr id="12" name="TextBox 12"/>
          <xdr:cNvSpPr txBox="1">
            <a:spLocks noChangeArrowheads="1"/>
          </xdr:cNvSpPr>
        </xdr:nvSpPr>
        <xdr:spPr>
          <a:xfrm>
            <a:off x="713" y="106"/>
            <a:ext cx="19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7b956910-c6f2-4fbd-b332-37a54ba8fe13}" type="TxLink">
              <a:rPr lang="en-US" cap="none" sz="2200" b="0" i="0" u="none" baseline="0"/>
              <a:t>$53,240 </a:t>
            </a:fld>
          </a:p>
        </xdr:txBody>
      </xdr:sp>
      <xdr:sp textlink="$D$86">
        <xdr:nvSpPr>
          <xdr:cNvPr id="13" name="TextBox 13"/>
          <xdr:cNvSpPr txBox="1">
            <a:spLocks noChangeArrowheads="1"/>
          </xdr:cNvSpPr>
        </xdr:nvSpPr>
        <xdr:spPr>
          <a:xfrm>
            <a:off x="677" y="142"/>
            <a:ext cx="2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f9ac9ff-9206-4bac-9aee-c2b726595132}" type="TxLink">
              <a:rPr lang="en-US" cap="none" sz="2200" b="0" i="0" u="none" baseline="0"/>
              <a:t>$422,613 </a:t>
            </a:fld>
          </a:p>
        </xdr:txBody>
      </xdr:sp>
      <xdr:sp textlink="$D$87">
        <xdr:nvSpPr>
          <xdr:cNvPr id="14" name="TextBox 14"/>
          <xdr:cNvSpPr txBox="1">
            <a:spLocks noChangeArrowheads="1"/>
          </xdr:cNvSpPr>
        </xdr:nvSpPr>
        <xdr:spPr>
          <a:xfrm>
            <a:off x="677" y="178"/>
            <a:ext cx="2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5aeb488d-4b72-4eb2-8549-26c8835312ad}" type="TxLink">
              <a:rPr lang="en-US" cap="none" sz="2200" b="0" i="0" u="none" baseline="0"/>
              <a:t>$284,713 </a:t>
            </a:fld>
          </a:p>
        </xdr:txBody>
      </xdr:sp>
      <xdr:sp textlink="$D$88">
        <xdr:nvSpPr>
          <xdr:cNvPr id="15" name="TextBox 15"/>
          <xdr:cNvSpPr txBox="1">
            <a:spLocks noChangeArrowheads="1"/>
          </xdr:cNvSpPr>
        </xdr:nvSpPr>
        <xdr:spPr>
          <a:xfrm>
            <a:off x="713" y="214"/>
            <a:ext cx="19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7e9df8e-c446-4069-8cef-b54ac37b8583}" type="TxLink">
              <a:rPr lang="en-US" cap="none" sz="2200" b="0" i="0" u="none" baseline="0"/>
              <a:t>$46,875 </a:t>
            </a:fld>
          </a:p>
        </xdr:txBody>
      </xdr:sp>
      <xdr:sp textlink="$D$89">
        <xdr:nvSpPr>
          <xdr:cNvPr id="16" name="TextBox 16"/>
          <xdr:cNvSpPr txBox="1">
            <a:spLocks noChangeArrowheads="1"/>
          </xdr:cNvSpPr>
        </xdr:nvSpPr>
        <xdr:spPr>
          <a:xfrm>
            <a:off x="713" y="250"/>
            <a:ext cx="19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18d5e6d0-0689-4dd9-a325-aa89515f0af5}" type="TxLink">
              <a:rPr lang="en-US" cap="none" sz="2200" b="0" i="0" u="none" baseline="0"/>
              <a:t>$8,599 </a:t>
            </a:fld>
          </a:p>
        </xdr:txBody>
      </xdr:sp>
      <xdr:sp textlink="$D$91">
        <xdr:nvSpPr>
          <xdr:cNvPr id="17" name="TextBox 17"/>
          <xdr:cNvSpPr txBox="1">
            <a:spLocks noChangeArrowheads="1"/>
          </xdr:cNvSpPr>
        </xdr:nvSpPr>
        <xdr:spPr>
          <a:xfrm>
            <a:off x="677" y="322"/>
            <a:ext cx="2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70fec4ed-6ad4-493e-840f-328d5ba462dc}" type="TxLink">
              <a:rPr lang="en-US" cap="none" sz="2200" b="0" i="1" u="none" baseline="0">
                <a:solidFill>
                  <a:srgbClr val="0000FF"/>
                </a:solidFill>
              </a:rPr>
              <a:t>$230,300 </a:t>
            </a:fld>
          </a:p>
        </xdr:txBody>
      </xdr:sp>
    </xdr:grpSp>
    <xdr:clientData/>
  </xdr:twoCellAnchor>
  <xdr:twoCellAnchor>
    <xdr:from>
      <xdr:col>5</xdr:col>
      <xdr:colOff>581025</xdr:colOff>
      <xdr:row>25</xdr:row>
      <xdr:rowOff>133350</xdr:rowOff>
    </xdr:from>
    <xdr:to>
      <xdr:col>9</xdr:col>
      <xdr:colOff>381000</xdr:colOff>
      <xdr:row>40</xdr:row>
      <xdr:rowOff>152400</xdr:rowOff>
    </xdr:to>
    <xdr:grpSp>
      <xdr:nvGrpSpPr>
        <xdr:cNvPr id="18" name="Group 40"/>
        <xdr:cNvGrpSpPr>
          <a:grpSpLocks/>
        </xdr:cNvGrpSpPr>
      </xdr:nvGrpSpPr>
      <xdr:grpSpPr>
        <a:xfrm>
          <a:off x="6324600" y="4219575"/>
          <a:ext cx="2238375" cy="2447925"/>
          <a:chOff x="661" y="443"/>
          <a:chExt cx="235" cy="257"/>
        </a:xfrm>
        <a:solidFill>
          <a:srgbClr val="FFFFFF"/>
        </a:solidFill>
      </xdr:grpSpPr>
      <xdr:sp textlink="$D$75">
        <xdr:nvSpPr>
          <xdr:cNvPr id="19" name="TextBox 20"/>
          <xdr:cNvSpPr txBox="1">
            <a:spLocks noChangeArrowheads="1"/>
          </xdr:cNvSpPr>
        </xdr:nvSpPr>
        <xdr:spPr>
          <a:xfrm>
            <a:off x="661" y="443"/>
            <a:ext cx="23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148a1842-78ef-4b66-aab5-4a4c880f4811}" type="TxLink">
              <a:rPr lang="en-US" cap="none" sz="2200" b="0" i="0" u="none" baseline="0"/>
              <a:t>$760,566 </a:t>
            </a:fld>
          </a:p>
        </xdr:txBody>
      </xdr:sp>
      <xdr:sp textlink="$D$76">
        <xdr:nvSpPr>
          <xdr:cNvPr id="20" name="TextBox 21"/>
          <xdr:cNvSpPr txBox="1">
            <a:spLocks noChangeArrowheads="1"/>
          </xdr:cNvSpPr>
        </xdr:nvSpPr>
        <xdr:spPr>
          <a:xfrm>
            <a:off x="697" y="479"/>
            <a:ext cx="199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11b15324-ffe1-47f0-aba3-43e19fafb1c1}" type="TxLink">
              <a:rPr lang="en-US" cap="none" sz="2200" b="0" i="0" u="none" baseline="0"/>
              <a:t>$53,240 </a:t>
            </a:fld>
          </a:p>
        </xdr:txBody>
      </xdr:sp>
      <xdr:sp textlink="$D$77">
        <xdr:nvSpPr>
          <xdr:cNvPr id="21" name="TextBox 22"/>
          <xdr:cNvSpPr txBox="1">
            <a:spLocks noChangeArrowheads="1"/>
          </xdr:cNvSpPr>
        </xdr:nvSpPr>
        <xdr:spPr>
          <a:xfrm>
            <a:off x="661" y="515"/>
            <a:ext cx="23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8fb0450d-54c7-426d-9567-9fa84031a909}" type="TxLink">
              <a:rPr lang="en-US" cap="none" sz="2200" b="0" i="0" u="none" baseline="0"/>
              <a:t>$462,500 </a:t>
            </a:fld>
          </a:p>
        </xdr:txBody>
      </xdr:sp>
      <xdr:sp textlink="$D$78">
        <xdr:nvSpPr>
          <xdr:cNvPr id="22" name="TextBox 23"/>
          <xdr:cNvSpPr txBox="1">
            <a:spLocks noChangeArrowheads="1"/>
          </xdr:cNvSpPr>
        </xdr:nvSpPr>
        <xdr:spPr>
          <a:xfrm>
            <a:off x="661" y="551"/>
            <a:ext cx="23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660849ba-722b-4d45-a057-0d5421103503}" type="TxLink">
              <a:rPr lang="en-US" cap="none" sz="2200" b="0" i="0" u="none" baseline="0"/>
              <a:t>$244,826 </a:t>
            </a:fld>
          </a:p>
        </xdr:txBody>
      </xdr:sp>
      <xdr:sp textlink="$D$79">
        <xdr:nvSpPr>
          <xdr:cNvPr id="23" name="TextBox 24"/>
          <xdr:cNvSpPr txBox="1">
            <a:spLocks noChangeArrowheads="1"/>
          </xdr:cNvSpPr>
        </xdr:nvSpPr>
        <xdr:spPr>
          <a:xfrm>
            <a:off x="661" y="587"/>
            <a:ext cx="235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13b77ff8-5272-42d9-a0cc-4345852437d9}" type="TxLink">
              <a:rPr lang="en-US" cap="none" sz="2200" b="0" i="0" u="none" baseline="0"/>
              <a:t>$187,500 </a:t>
            </a:fld>
          </a:p>
        </xdr:txBody>
      </xdr:sp>
      <xdr:sp textlink="$D$80">
        <xdr:nvSpPr>
          <xdr:cNvPr id="24" name="TextBox 25"/>
          <xdr:cNvSpPr txBox="1">
            <a:spLocks noChangeArrowheads="1"/>
          </xdr:cNvSpPr>
        </xdr:nvSpPr>
        <xdr:spPr>
          <a:xfrm>
            <a:off x="697" y="623"/>
            <a:ext cx="199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0df2fc61-8512-4966-8221-c1b33cc91646}" type="TxLink">
              <a:rPr lang="en-US" cap="none" sz="2200" b="0" i="0" u="none" baseline="0"/>
              <a:t>$57,326 </a:t>
            </a:fld>
          </a:p>
        </xdr:txBody>
      </xdr:sp>
      <xdr:sp textlink="$D$81">
        <xdr:nvSpPr>
          <xdr:cNvPr id="25" name="TextBox 26"/>
          <xdr:cNvSpPr txBox="1">
            <a:spLocks noChangeArrowheads="1"/>
          </xdr:cNvSpPr>
        </xdr:nvSpPr>
        <xdr:spPr>
          <a:xfrm>
            <a:off x="722" y="659"/>
            <a:ext cx="174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dc452c61-291d-4e36-a593-24594d778df2}" type="TxLink">
              <a:rPr lang="en-US" cap="none" sz="2200" b="0" i="0" u="none" baseline="0"/>
              <a:t>($3,120)</a:t>
            </a:fld>
          </a:p>
        </xdr:txBody>
      </xdr:sp>
    </xdr:grpSp>
    <xdr:clientData/>
  </xdr:twoCellAnchor>
  <xdr:oneCellAnchor>
    <xdr:from>
      <xdr:col>2</xdr:col>
      <xdr:colOff>1638300</xdr:colOff>
      <xdr:row>1</xdr:row>
      <xdr:rowOff>9525</xdr:rowOff>
    </xdr:from>
    <xdr:ext cx="3952875" cy="485775"/>
    <xdr:sp>
      <xdr:nvSpPr>
        <xdr:cNvPr id="26" name="TextBox 27"/>
        <xdr:cNvSpPr txBox="1">
          <a:spLocks noChangeArrowheads="1"/>
        </xdr:cNvSpPr>
      </xdr:nvSpPr>
      <xdr:spPr>
        <a:xfrm>
          <a:off x="2857500" y="171450"/>
          <a:ext cx="3952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ctr">
            <a:defRPr/>
          </a:pPr>
          <a:r>
            <a:rPr lang="en-US" cap="none" sz="2800" b="0" i="1" u="dbl" baseline="0">
              <a:solidFill>
                <a:srgbClr val="0000FF"/>
              </a:solidFill>
            </a:rPr>
            <a:t>Sale Proceeds After Tax</a:t>
          </a:r>
        </a:p>
      </xdr:txBody>
    </xdr:sp>
    <xdr:clientData/>
  </xdr:oneCellAnchor>
  <xdr:oneCellAnchor>
    <xdr:from>
      <xdr:col>2</xdr:col>
      <xdr:colOff>1409700</xdr:colOff>
      <xdr:row>22</xdr:row>
      <xdr:rowOff>142875</xdr:rowOff>
    </xdr:from>
    <xdr:ext cx="4419600" cy="485775"/>
    <xdr:sp>
      <xdr:nvSpPr>
        <xdr:cNvPr id="27" name="TextBox 28"/>
        <xdr:cNvSpPr txBox="1">
          <a:spLocks noChangeArrowheads="1"/>
        </xdr:cNvSpPr>
      </xdr:nvSpPr>
      <xdr:spPr>
        <a:xfrm>
          <a:off x="2628900" y="3743325"/>
          <a:ext cx="44196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ctr">
            <a:defRPr/>
          </a:pPr>
          <a:r>
            <a:rPr lang="en-US" cap="none" sz="2800" b="0" i="1" u="dbl" baseline="0">
              <a:solidFill>
                <a:srgbClr val="FF0000"/>
              </a:solidFill>
            </a:rPr>
            <a:t>Taxable Income From Sale</a:t>
          </a:r>
        </a:p>
      </xdr:txBody>
    </xdr:sp>
    <xdr:clientData/>
  </xdr:oneCellAnchor>
  <xdr:twoCellAnchor>
    <xdr:from>
      <xdr:col>1</xdr:col>
      <xdr:colOff>495300</xdr:colOff>
      <xdr:row>10</xdr:row>
      <xdr:rowOff>133350</xdr:rowOff>
    </xdr:from>
    <xdr:to>
      <xdr:col>9</xdr:col>
      <xdr:colOff>361950</xdr:colOff>
      <xdr:row>10</xdr:row>
      <xdr:rowOff>133350</xdr:rowOff>
    </xdr:to>
    <xdr:sp>
      <xdr:nvSpPr>
        <xdr:cNvPr id="28" name="Line 38"/>
        <xdr:cNvSpPr>
          <a:spLocks/>
        </xdr:cNvSpPr>
      </xdr:nvSpPr>
      <xdr:spPr>
        <a:xfrm>
          <a:off x="1104900" y="1752600"/>
          <a:ext cx="7439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19</xdr:row>
      <xdr:rowOff>57150</xdr:rowOff>
    </xdr:from>
    <xdr:to>
      <xdr:col>9</xdr:col>
      <xdr:colOff>361950</xdr:colOff>
      <xdr:row>19</xdr:row>
      <xdr:rowOff>57150</xdr:rowOff>
    </xdr:to>
    <xdr:sp>
      <xdr:nvSpPr>
        <xdr:cNvPr id="29" name="Line 39"/>
        <xdr:cNvSpPr>
          <a:spLocks/>
        </xdr:cNvSpPr>
      </xdr:nvSpPr>
      <xdr:spPr>
        <a:xfrm>
          <a:off x="1104900" y="3133725"/>
          <a:ext cx="7439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95250</xdr:rowOff>
    </xdr:from>
    <xdr:to>
      <xdr:col>9</xdr:col>
      <xdr:colOff>361950</xdr:colOff>
      <xdr:row>32</xdr:row>
      <xdr:rowOff>95250</xdr:rowOff>
    </xdr:to>
    <xdr:sp>
      <xdr:nvSpPr>
        <xdr:cNvPr id="30" name="Line 41"/>
        <xdr:cNvSpPr>
          <a:spLocks/>
        </xdr:cNvSpPr>
      </xdr:nvSpPr>
      <xdr:spPr>
        <a:xfrm>
          <a:off x="1104900" y="5314950"/>
          <a:ext cx="7439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36</xdr:row>
      <xdr:rowOff>114300</xdr:rowOff>
    </xdr:from>
    <xdr:to>
      <xdr:col>9</xdr:col>
      <xdr:colOff>361950</xdr:colOff>
      <xdr:row>36</xdr:row>
      <xdr:rowOff>114300</xdr:rowOff>
    </xdr:to>
    <xdr:sp>
      <xdr:nvSpPr>
        <xdr:cNvPr id="31" name="Line 42"/>
        <xdr:cNvSpPr>
          <a:spLocks/>
        </xdr:cNvSpPr>
      </xdr:nvSpPr>
      <xdr:spPr>
        <a:xfrm>
          <a:off x="1104900" y="5981700"/>
          <a:ext cx="74390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9</xdr:row>
      <xdr:rowOff>66675</xdr:rowOff>
    </xdr:from>
    <xdr:to>
      <xdr:col>11</xdr:col>
      <xdr:colOff>1352550</xdr:colOff>
      <xdr:row>38</xdr:row>
      <xdr:rowOff>38100</xdr:rowOff>
    </xdr:to>
    <xdr:sp>
      <xdr:nvSpPr>
        <xdr:cNvPr id="1" name="Rectangle 74"/>
        <xdr:cNvSpPr>
          <a:spLocks/>
        </xdr:cNvSpPr>
      </xdr:nvSpPr>
      <xdr:spPr>
        <a:xfrm>
          <a:off x="6467475" y="1962150"/>
          <a:ext cx="2924175" cy="4667250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9</xdr:row>
      <xdr:rowOff>66675</xdr:rowOff>
    </xdr:from>
    <xdr:to>
      <xdr:col>9</xdr:col>
      <xdr:colOff>9525</xdr:colOff>
      <xdr:row>38</xdr:row>
      <xdr:rowOff>38100</xdr:rowOff>
    </xdr:to>
    <xdr:sp>
      <xdr:nvSpPr>
        <xdr:cNvPr id="2" name="Rectangle 75"/>
        <xdr:cNvSpPr>
          <a:spLocks/>
        </xdr:cNvSpPr>
      </xdr:nvSpPr>
      <xdr:spPr>
        <a:xfrm>
          <a:off x="3324225" y="1962150"/>
          <a:ext cx="2924175" cy="4667250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9</xdr:row>
      <xdr:rowOff>66675</xdr:rowOff>
    </xdr:from>
    <xdr:to>
      <xdr:col>5</xdr:col>
      <xdr:colOff>190500</xdr:colOff>
      <xdr:row>38</xdr:row>
      <xdr:rowOff>38100</xdr:rowOff>
    </xdr:to>
    <xdr:sp>
      <xdr:nvSpPr>
        <xdr:cNvPr id="3" name="Rectangle 23"/>
        <xdr:cNvSpPr>
          <a:spLocks/>
        </xdr:cNvSpPr>
      </xdr:nvSpPr>
      <xdr:spPr>
        <a:xfrm>
          <a:off x="200025" y="1962150"/>
          <a:ext cx="2924175" cy="4667250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76</xdr:row>
      <xdr:rowOff>0</xdr:rowOff>
    </xdr:from>
    <xdr:to>
      <xdr:col>5</xdr:col>
      <xdr:colOff>1200150</xdr:colOff>
      <xdr:row>76</xdr:row>
      <xdr:rowOff>0</xdr:rowOff>
    </xdr:to>
    <xdr:sp>
      <xdr:nvSpPr>
        <xdr:cNvPr id="4" name="Line 1"/>
        <xdr:cNvSpPr>
          <a:spLocks/>
        </xdr:cNvSpPr>
      </xdr:nvSpPr>
      <xdr:spPr>
        <a:xfrm>
          <a:off x="590550" y="12811125"/>
          <a:ext cx="3543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75</xdr:row>
      <xdr:rowOff>76200</xdr:rowOff>
    </xdr:from>
    <xdr:to>
      <xdr:col>3</xdr:col>
      <xdr:colOff>38100</xdr:colOff>
      <xdr:row>87</xdr:row>
      <xdr:rowOff>0</xdr:rowOff>
    </xdr:to>
    <xdr:sp>
      <xdr:nvSpPr>
        <xdr:cNvPr id="5" name="Line 2"/>
        <xdr:cNvSpPr>
          <a:spLocks/>
        </xdr:cNvSpPr>
      </xdr:nvSpPr>
      <xdr:spPr>
        <a:xfrm flipH="1">
          <a:off x="1162050" y="12658725"/>
          <a:ext cx="9525" cy="2667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76</xdr:row>
      <xdr:rowOff>0</xdr:rowOff>
    </xdr:from>
    <xdr:to>
      <xdr:col>11</xdr:col>
      <xdr:colOff>1171575</xdr:colOff>
      <xdr:row>76</xdr:row>
      <xdr:rowOff>0</xdr:rowOff>
    </xdr:to>
    <xdr:sp>
      <xdr:nvSpPr>
        <xdr:cNvPr id="6" name="Line 3"/>
        <xdr:cNvSpPr>
          <a:spLocks/>
        </xdr:cNvSpPr>
      </xdr:nvSpPr>
      <xdr:spPr>
        <a:xfrm>
          <a:off x="5667375" y="12811125"/>
          <a:ext cx="35433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75</xdr:row>
      <xdr:rowOff>76200</xdr:rowOff>
    </xdr:from>
    <xdr:to>
      <xdr:col>9</xdr:col>
      <xdr:colOff>38100</xdr:colOff>
      <xdr:row>87</xdr:row>
      <xdr:rowOff>0</xdr:rowOff>
    </xdr:to>
    <xdr:sp>
      <xdr:nvSpPr>
        <xdr:cNvPr id="7" name="Line 4"/>
        <xdr:cNvSpPr>
          <a:spLocks/>
        </xdr:cNvSpPr>
      </xdr:nvSpPr>
      <xdr:spPr>
        <a:xfrm flipH="1">
          <a:off x="6267450" y="12658725"/>
          <a:ext cx="9525" cy="2667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114300</xdr:rowOff>
    </xdr:from>
    <xdr:to>
      <xdr:col>4</xdr:col>
      <xdr:colOff>200025</xdr:colOff>
      <xdr:row>37</xdr:row>
      <xdr:rowOff>76200</xdr:rowOff>
    </xdr:to>
    <xdr:grpSp>
      <xdr:nvGrpSpPr>
        <xdr:cNvPr id="8" name="Group 29"/>
        <xdr:cNvGrpSpPr>
          <a:grpSpLocks/>
        </xdr:cNvGrpSpPr>
      </xdr:nvGrpSpPr>
      <xdr:grpSpPr>
        <a:xfrm>
          <a:off x="714375" y="6057900"/>
          <a:ext cx="2038350" cy="447675"/>
          <a:chOff x="453" y="369"/>
          <a:chExt cx="214" cy="47"/>
        </a:xfrm>
        <a:solidFill>
          <a:srgbClr val="FFFFFF"/>
        </a:solidFill>
      </xdr:grpSpPr>
      <xdr:sp textlink="$F$121">
        <xdr:nvSpPr>
          <xdr:cNvPr id="9" name="TextBox 27"/>
          <xdr:cNvSpPr txBox="1">
            <a:spLocks noChangeArrowheads="1"/>
          </xdr:cNvSpPr>
        </xdr:nvSpPr>
        <xdr:spPr>
          <a:xfrm>
            <a:off x="522" y="369"/>
            <a:ext cx="145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57aea168-4eba-4a40-8085-0703de145104}" type="TxLink">
              <a:rPr lang="en-US" cap="none" sz="2400" b="0" i="1" u="none" baseline="0">
                <a:solidFill>
                  <a:srgbClr val="0000FF"/>
                </a:solidFill>
              </a:rPr>
              <a:t>10.19%</a:t>
            </a:fld>
          </a:p>
        </xdr:txBody>
      </xdr:sp>
      <xdr:sp>
        <xdr:nvSpPr>
          <xdr:cNvPr id="10" name="TextBox 28"/>
          <xdr:cNvSpPr txBox="1">
            <a:spLocks noChangeArrowheads="1"/>
          </xdr:cNvSpPr>
        </xdr:nvSpPr>
        <xdr:spPr>
          <a:xfrm>
            <a:off x="453" y="372"/>
            <a:ext cx="107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r">
              <a:defRPr/>
            </a:pPr>
            <a:r>
              <a:rPr lang="en-US" cap="none" sz="2400" b="0" i="1" u="none" baseline="0">
                <a:solidFill>
                  <a:srgbClr val="0000FF"/>
                </a:solidFill>
              </a:rPr>
              <a:t>IRR =</a:t>
            </a:r>
          </a:p>
        </xdr:txBody>
      </xdr:sp>
    </xdr:grpSp>
    <xdr:clientData/>
  </xdr:twoCellAnchor>
  <xdr:oneCellAnchor>
    <xdr:from>
      <xdr:col>2</xdr:col>
      <xdr:colOff>142875</xdr:colOff>
      <xdr:row>9</xdr:row>
      <xdr:rowOff>142875</xdr:rowOff>
    </xdr:from>
    <xdr:ext cx="1933575" cy="790575"/>
    <xdr:sp>
      <xdr:nvSpPr>
        <xdr:cNvPr id="11" name="TextBox 26"/>
        <xdr:cNvSpPr txBox="1">
          <a:spLocks noChangeArrowheads="1"/>
        </xdr:cNvSpPr>
      </xdr:nvSpPr>
      <xdr:spPr>
        <a:xfrm>
          <a:off x="657225" y="2038350"/>
          <a:ext cx="19335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1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Unleveraged</a:t>
          </a:r>
          <a:r>
            <a:rPr lang="en-US" cap="none" sz="2400" b="0" i="1" u="dbl" baseline="0">
              <a:solidFill>
                <a:srgbClr val="0000FF"/>
              </a:solidFill>
              <a:latin typeface="Tahoma"/>
              <a:ea typeface="Tahoma"/>
              <a:cs typeface="Tahoma"/>
            </a:rPr>
            <a:t>
Before Tax</a:t>
          </a:r>
        </a:p>
      </xdr:txBody>
    </xdr:sp>
    <xdr:clientData/>
  </xdr:oneCellAnchor>
  <xdr:twoCellAnchor>
    <xdr:from>
      <xdr:col>1</xdr:col>
      <xdr:colOff>142875</xdr:colOff>
      <xdr:row>16</xdr:row>
      <xdr:rowOff>85725</xdr:rowOff>
    </xdr:from>
    <xdr:to>
      <xdr:col>5</xdr:col>
      <xdr:colOff>171450</xdr:colOff>
      <xdr:row>33</xdr:row>
      <xdr:rowOff>114300</xdr:rowOff>
    </xdr:to>
    <xdr:grpSp>
      <xdr:nvGrpSpPr>
        <xdr:cNvPr id="12" name="Group 102"/>
        <xdr:cNvGrpSpPr>
          <a:grpSpLocks/>
        </xdr:cNvGrpSpPr>
      </xdr:nvGrpSpPr>
      <xdr:grpSpPr>
        <a:xfrm>
          <a:off x="381000" y="3114675"/>
          <a:ext cx="2724150" cy="2781300"/>
          <a:chOff x="40" y="327"/>
          <a:chExt cx="286" cy="292"/>
        </a:xfrm>
        <a:solidFill>
          <a:srgbClr val="FFFFFF"/>
        </a:solidFill>
      </xdr:grpSpPr>
      <xdr:sp textlink="D92">
        <xdr:nvSpPr>
          <xdr:cNvPr id="13" name="TextBox 6"/>
          <xdr:cNvSpPr txBox="1">
            <a:spLocks noChangeArrowheads="1"/>
          </xdr:cNvSpPr>
        </xdr:nvSpPr>
        <xdr:spPr>
          <a:xfrm>
            <a:off x="63" y="327"/>
            <a:ext cx="12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cd3dafab-427d-4618-a39a-ececf9d594a3}" type="TxLink">
              <a:rPr lang="en-US" cap="none" sz="1600" b="0" i="0" u="none" baseline="0"/>
              <a:t>($650,000)</a:t>
            </a:fld>
          </a:p>
        </xdr:txBody>
      </xdr:sp>
      <xdr:sp textlink="D93">
        <xdr:nvSpPr>
          <xdr:cNvPr id="14" name="TextBox 7"/>
          <xdr:cNvSpPr txBox="1">
            <a:spLocks noChangeArrowheads="1"/>
          </xdr:cNvSpPr>
        </xdr:nvSpPr>
        <xdr:spPr>
          <a:xfrm>
            <a:off x="40" y="345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0947b4e2-d21d-4846-a3bd-32e6f2d6c86c}" type="TxLink">
              <a:rPr lang="en-US" cap="none" sz="1600" b="0" i="0" u="none" baseline="0"/>
              <a:t>$55,537 </a:t>
            </a:fld>
          </a:p>
        </xdr:txBody>
      </xdr:sp>
      <xdr:sp textlink="D94">
        <xdr:nvSpPr>
          <xdr:cNvPr id="15" name="TextBox 8"/>
          <xdr:cNvSpPr txBox="1">
            <a:spLocks noChangeArrowheads="1"/>
          </xdr:cNvSpPr>
        </xdr:nvSpPr>
        <xdr:spPr>
          <a:xfrm>
            <a:off x="40" y="371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e7902a86-71d8-4851-ab17-22fa7c4dda59}" type="TxLink">
              <a:rPr lang="en-US" cap="none" sz="1600" b="0" i="0" u="none" baseline="0"/>
              <a:t>$57,317 </a:t>
            </a:fld>
          </a:p>
        </xdr:txBody>
      </xdr:sp>
      <xdr:sp textlink="D95">
        <xdr:nvSpPr>
          <xdr:cNvPr id="16" name="TextBox 9"/>
          <xdr:cNvSpPr txBox="1">
            <a:spLocks noChangeArrowheads="1"/>
          </xdr:cNvSpPr>
        </xdr:nvSpPr>
        <xdr:spPr>
          <a:xfrm>
            <a:off x="40" y="397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f14c1d3f-9a5f-405f-b03b-9f347d9453c6}" type="TxLink">
              <a:rPr lang="en-US" cap="none" sz="1600" b="0" i="0" u="none" baseline="0"/>
              <a:t>$59,152 </a:t>
            </a:fld>
          </a:p>
        </xdr:txBody>
      </xdr:sp>
      <xdr:sp textlink="D96">
        <xdr:nvSpPr>
          <xdr:cNvPr id="17" name="TextBox 10"/>
          <xdr:cNvSpPr txBox="1">
            <a:spLocks noChangeArrowheads="1"/>
          </xdr:cNvSpPr>
        </xdr:nvSpPr>
        <xdr:spPr>
          <a:xfrm>
            <a:off x="40" y="423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da37c5c-df00-43bc-a349-67b98eb08fd2}" type="TxLink">
              <a:rPr lang="en-US" cap="none" sz="1600" b="0" i="0" u="none" baseline="0"/>
              <a:t>$61,045 </a:t>
            </a:fld>
          </a:p>
        </xdr:txBody>
      </xdr:sp>
      <xdr:sp textlink="D97">
        <xdr:nvSpPr>
          <xdr:cNvPr id="18" name="TextBox 11"/>
          <xdr:cNvSpPr txBox="1">
            <a:spLocks noChangeArrowheads="1"/>
          </xdr:cNvSpPr>
        </xdr:nvSpPr>
        <xdr:spPr>
          <a:xfrm>
            <a:off x="40" y="449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0dcae439-bf35-471a-9f52-1bd48f5ec87b}" type="TxLink">
              <a:rPr lang="en-US" cap="none" sz="1600" b="0" i="0" u="none" baseline="0"/>
              <a:t>$62,997 </a:t>
            </a:fld>
          </a:p>
        </xdr:txBody>
      </xdr:sp>
      <xdr:sp textlink="D98">
        <xdr:nvSpPr>
          <xdr:cNvPr id="19" name="TextBox 12"/>
          <xdr:cNvSpPr txBox="1">
            <a:spLocks noChangeArrowheads="1"/>
          </xdr:cNvSpPr>
        </xdr:nvSpPr>
        <xdr:spPr>
          <a:xfrm>
            <a:off x="40" y="475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569e5be3-5a65-470d-a515-7041ab6580d0}" type="TxLink">
              <a:rPr lang="en-US" cap="none" sz="1600" b="0" i="0" u="none" baseline="0"/>
              <a:t>$65,010 </a:t>
            </a:fld>
          </a:p>
        </xdr:txBody>
      </xdr:sp>
      <xdr:sp textlink="D99">
        <xdr:nvSpPr>
          <xdr:cNvPr id="20" name="TextBox 13"/>
          <xdr:cNvSpPr txBox="1">
            <a:spLocks noChangeArrowheads="1"/>
          </xdr:cNvSpPr>
        </xdr:nvSpPr>
        <xdr:spPr>
          <a:xfrm>
            <a:off x="40" y="501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2727dfbd-a393-4b38-bcc8-c247a4a9bc54}" type="TxLink">
              <a:rPr lang="en-US" cap="none" sz="1600" b="0" i="0" u="none" baseline="0"/>
              <a:t>$67,086 </a:t>
            </a:fld>
          </a:p>
        </xdr:txBody>
      </xdr:sp>
      <xdr:sp textlink="D100">
        <xdr:nvSpPr>
          <xdr:cNvPr id="21" name="TextBox 14"/>
          <xdr:cNvSpPr txBox="1">
            <a:spLocks noChangeArrowheads="1"/>
          </xdr:cNvSpPr>
        </xdr:nvSpPr>
        <xdr:spPr>
          <a:xfrm>
            <a:off x="40" y="527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1bae32a4-b8d5-4138-9c8a-c262cff7d196}" type="TxLink">
              <a:rPr lang="en-US" cap="none" sz="1600" b="0" i="0" u="none" baseline="0"/>
              <a:t>$69,226 </a:t>
            </a:fld>
          </a:p>
        </xdr:txBody>
      </xdr:sp>
      <xdr:sp textlink="D101">
        <xdr:nvSpPr>
          <xdr:cNvPr id="22" name="TextBox 15"/>
          <xdr:cNvSpPr txBox="1">
            <a:spLocks noChangeArrowheads="1"/>
          </xdr:cNvSpPr>
        </xdr:nvSpPr>
        <xdr:spPr>
          <a:xfrm>
            <a:off x="40" y="553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09bde4fe-3038-4632-a0ed-02f92862ab01}" type="TxLink">
              <a:rPr lang="en-US" cap="none" sz="1600" b="0" i="0" u="none" baseline="0"/>
              <a:t>$71,433 </a:t>
            </a:fld>
          </a:p>
        </xdr:txBody>
      </xdr:sp>
      <xdr:sp textlink="D102">
        <xdr:nvSpPr>
          <xdr:cNvPr id="23" name="TextBox 16"/>
          <xdr:cNvSpPr txBox="1">
            <a:spLocks noChangeArrowheads="1"/>
          </xdr:cNvSpPr>
        </xdr:nvSpPr>
        <xdr:spPr>
          <a:xfrm>
            <a:off x="40" y="579"/>
            <a:ext cx="15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0afc81b-f286-4861-94d6-a8eef023fe21}" type="TxLink">
              <a:rPr lang="en-US" cap="none" sz="1600" b="0" i="0" u="none" baseline="0"/>
              <a:t>$73,709 </a:t>
            </a:fld>
          </a:p>
        </xdr:txBody>
      </xdr:sp>
      <xdr:sp textlink="F102">
        <xdr:nvSpPr>
          <xdr:cNvPr id="24" name="TextBox 17"/>
          <xdr:cNvSpPr txBox="1">
            <a:spLocks noChangeArrowheads="1"/>
          </xdr:cNvSpPr>
        </xdr:nvSpPr>
        <xdr:spPr>
          <a:xfrm>
            <a:off x="153" y="579"/>
            <a:ext cx="173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5118339e-b451-4f54-bc4d-9adbf5743d1c}" type="TxLink">
              <a:rPr lang="en-US" cap="none" sz="1600" b="0" i="0" u="none" baseline="0"/>
              <a:t>$707,326 </a:t>
            </a:fld>
          </a:p>
        </xdr:txBody>
      </xdr:sp>
      <xdr:sp>
        <xdr:nvSpPr>
          <xdr:cNvPr id="25" name="TextBox 18"/>
          <xdr:cNvSpPr txBox="1">
            <a:spLocks noChangeArrowheads="1"/>
          </xdr:cNvSpPr>
        </xdr:nvSpPr>
        <xdr:spPr>
          <a:xfrm>
            <a:off x="194" y="588"/>
            <a:ext cx="2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r">
              <a:defRPr/>
            </a:pPr>
            <a:r>
              <a:rPr lang="en-US" cap="none" sz="1600" b="0" i="0" u="none" baseline="0"/>
              <a:t>+</a:t>
            </a:r>
          </a:p>
        </xdr:txBody>
      </xdr:sp>
    </xdr:grpSp>
    <xdr:clientData/>
  </xdr:twoCellAnchor>
  <xdr:twoCellAnchor>
    <xdr:from>
      <xdr:col>0</xdr:col>
      <xdr:colOff>219075</xdr:colOff>
      <xdr:row>15</xdr:row>
      <xdr:rowOff>0</xdr:rowOff>
    </xdr:from>
    <xdr:to>
      <xdr:col>5</xdr:col>
      <xdr:colOff>123825</xdr:colOff>
      <xdr:row>33</xdr:row>
      <xdr:rowOff>123825</xdr:rowOff>
    </xdr:to>
    <xdr:grpSp>
      <xdr:nvGrpSpPr>
        <xdr:cNvPr id="26" name="Group 103"/>
        <xdr:cNvGrpSpPr>
          <a:grpSpLocks/>
        </xdr:cNvGrpSpPr>
      </xdr:nvGrpSpPr>
      <xdr:grpSpPr>
        <a:xfrm>
          <a:off x="219075" y="2867025"/>
          <a:ext cx="2838450" cy="3038475"/>
          <a:chOff x="23" y="301"/>
          <a:chExt cx="298" cy="319"/>
        </a:xfrm>
        <a:solidFill>
          <a:srgbClr val="FFFFFF"/>
        </a:solidFill>
      </xdr:grpSpPr>
      <xdr:sp>
        <xdr:nvSpPr>
          <xdr:cNvPr id="27" name="TextBox 5"/>
          <xdr:cNvSpPr txBox="1">
            <a:spLocks noChangeArrowheads="1"/>
          </xdr:cNvSpPr>
        </xdr:nvSpPr>
        <xdr:spPr>
          <a:xfrm>
            <a:off x="23" y="301"/>
            <a:ext cx="54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EOY
0
1
2
3
4
5
6
7
8
9
10</a:t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72" y="309"/>
            <a:ext cx="0" cy="30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 flipV="1">
            <a:off x="27" y="329"/>
            <a:ext cx="2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58"/>
          <xdr:cNvSpPr txBox="1">
            <a:spLocks noChangeArrowheads="1"/>
          </xdr:cNvSpPr>
        </xdr:nvSpPr>
        <xdr:spPr>
          <a:xfrm>
            <a:off x="135" y="301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$</a:t>
            </a:r>
          </a:p>
        </xdr:txBody>
      </xdr:sp>
    </xdr:grpSp>
    <xdr:clientData/>
  </xdr:twoCellAnchor>
  <xdr:twoCellAnchor>
    <xdr:from>
      <xdr:col>5</xdr:col>
      <xdr:colOff>609600</xdr:colOff>
      <xdr:row>16</xdr:row>
      <xdr:rowOff>104775</xdr:rowOff>
    </xdr:from>
    <xdr:to>
      <xdr:col>6</xdr:col>
      <xdr:colOff>447675</xdr:colOff>
      <xdr:row>33</xdr:row>
      <xdr:rowOff>95250</xdr:rowOff>
    </xdr:to>
    <xdr:grpSp>
      <xdr:nvGrpSpPr>
        <xdr:cNvPr id="31" name="Group 99"/>
        <xdr:cNvGrpSpPr>
          <a:grpSpLocks/>
        </xdr:cNvGrpSpPr>
      </xdr:nvGrpSpPr>
      <xdr:grpSpPr>
        <a:xfrm>
          <a:off x="3543300" y="3133725"/>
          <a:ext cx="1304925" cy="2743200"/>
          <a:chOff x="372" y="329"/>
          <a:chExt cx="137" cy="288"/>
        </a:xfrm>
        <a:solidFill>
          <a:srgbClr val="FFFFFF"/>
        </a:solidFill>
      </xdr:grpSpPr>
      <xdr:sp textlink="D77">
        <xdr:nvSpPr>
          <xdr:cNvPr id="32" name="TextBox 32"/>
          <xdr:cNvSpPr txBox="1">
            <a:spLocks noChangeArrowheads="1"/>
          </xdr:cNvSpPr>
        </xdr:nvSpPr>
        <xdr:spPr>
          <a:xfrm>
            <a:off x="372" y="329"/>
            <a:ext cx="1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a6683b92-c54f-4a36-ab26-1d7d3bfbd217}" type="TxLink">
              <a:rPr lang="en-US" cap="none" sz="1600" b="0" i="0" u="none" baseline="0"/>
              <a:t>($135,200)</a:t>
            </a:fld>
          </a:p>
        </xdr:txBody>
      </xdr:sp>
      <xdr:sp textlink="D78">
        <xdr:nvSpPr>
          <xdr:cNvPr id="33" name="TextBox 33"/>
          <xdr:cNvSpPr txBox="1">
            <a:spLocks noChangeArrowheads="1"/>
          </xdr:cNvSpPr>
        </xdr:nvSpPr>
        <xdr:spPr>
          <a:xfrm>
            <a:off x="405" y="355"/>
            <a:ext cx="10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7277519e-7273-421a-8fab-6ad207b13463}" type="TxLink">
              <a:rPr lang="en-US" cap="none" sz="1600" b="0" i="0" u="none" baseline="0"/>
              <a:t>$6,338 </a:t>
            </a:fld>
          </a:p>
        </xdr:txBody>
      </xdr:sp>
      <xdr:sp textlink="D79">
        <xdr:nvSpPr>
          <xdr:cNvPr id="34" name="TextBox 34"/>
          <xdr:cNvSpPr txBox="1">
            <a:spLocks noChangeArrowheads="1"/>
          </xdr:cNvSpPr>
        </xdr:nvSpPr>
        <xdr:spPr>
          <a:xfrm>
            <a:off x="405" y="381"/>
            <a:ext cx="10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b33040a7-867b-4248-a3c1-678661ca906c}" type="TxLink">
              <a:rPr lang="en-US" cap="none" sz="1600" b="0" i="0" u="none" baseline="0"/>
              <a:t>$8,117 </a:t>
            </a:fld>
          </a:p>
        </xdr:txBody>
      </xdr:sp>
      <xdr:sp textlink="D80">
        <xdr:nvSpPr>
          <xdr:cNvPr id="35" name="TextBox 35"/>
          <xdr:cNvSpPr txBox="1">
            <a:spLocks noChangeArrowheads="1"/>
          </xdr:cNvSpPr>
        </xdr:nvSpPr>
        <xdr:spPr>
          <a:xfrm>
            <a:off x="372" y="407"/>
            <a:ext cx="13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5c520b83-0489-40f5-a5bf-eb977e6521ab}" type="TxLink">
              <a:rPr lang="en-US" cap="none" sz="1600" b="0" i="0" u="none" baseline="0"/>
              <a:t>$9,953 </a:t>
            </a:fld>
          </a:p>
        </xdr:txBody>
      </xdr:sp>
      <xdr:sp textlink="D81">
        <xdr:nvSpPr>
          <xdr:cNvPr id="36" name="TextBox 36"/>
          <xdr:cNvSpPr txBox="1">
            <a:spLocks noChangeArrowheads="1"/>
          </xdr:cNvSpPr>
        </xdr:nvSpPr>
        <xdr:spPr>
          <a:xfrm>
            <a:off x="391" y="433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f8ce0ef0-effd-49c5-934b-955b0042cd81}" type="TxLink">
              <a:rPr lang="en-US" cap="none" sz="1600" b="0" i="0" u="none" baseline="0"/>
              <a:t>$11,846 </a:t>
            </a:fld>
          </a:p>
        </xdr:txBody>
      </xdr:sp>
      <xdr:sp textlink="D82">
        <xdr:nvSpPr>
          <xdr:cNvPr id="37" name="TextBox 37"/>
          <xdr:cNvSpPr txBox="1">
            <a:spLocks noChangeArrowheads="1"/>
          </xdr:cNvSpPr>
        </xdr:nvSpPr>
        <xdr:spPr>
          <a:xfrm>
            <a:off x="391" y="459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cd31bfeb-150c-4a4e-bc31-5adacfddedc6}" type="TxLink">
              <a:rPr lang="en-US" cap="none" sz="1600" b="0" i="0" u="none" baseline="0"/>
              <a:t>$13,798 </a:t>
            </a:fld>
          </a:p>
        </xdr:txBody>
      </xdr:sp>
      <xdr:sp textlink="D83">
        <xdr:nvSpPr>
          <xdr:cNvPr id="38" name="TextBox 38"/>
          <xdr:cNvSpPr txBox="1">
            <a:spLocks noChangeArrowheads="1"/>
          </xdr:cNvSpPr>
        </xdr:nvSpPr>
        <xdr:spPr>
          <a:xfrm>
            <a:off x="391" y="485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a3f04ba7-cdc9-4f54-9624-771e5a4249f9}" type="TxLink">
              <a:rPr lang="en-US" cap="none" sz="1600" b="0" i="0" u="none" baseline="0"/>
              <a:t>$15,810 </a:t>
            </a:fld>
          </a:p>
        </xdr:txBody>
      </xdr:sp>
      <xdr:sp textlink="D84">
        <xdr:nvSpPr>
          <xdr:cNvPr id="39" name="TextBox 39"/>
          <xdr:cNvSpPr txBox="1">
            <a:spLocks noChangeArrowheads="1"/>
          </xdr:cNvSpPr>
        </xdr:nvSpPr>
        <xdr:spPr>
          <a:xfrm>
            <a:off x="391" y="511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792f6a3c-00bd-45ab-b71c-8d1fd028c0bf}" type="TxLink">
              <a:rPr lang="en-US" cap="none" sz="1600" b="0" i="0" u="none" baseline="0"/>
              <a:t>$17,886 </a:t>
            </a:fld>
          </a:p>
        </xdr:txBody>
      </xdr:sp>
      <xdr:sp textlink="D85">
        <xdr:nvSpPr>
          <xdr:cNvPr id="40" name="TextBox 40"/>
          <xdr:cNvSpPr txBox="1">
            <a:spLocks noChangeArrowheads="1"/>
          </xdr:cNvSpPr>
        </xdr:nvSpPr>
        <xdr:spPr>
          <a:xfrm>
            <a:off x="391" y="537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cd38e0db-4fe8-4dbf-841b-5d6870055782}" type="TxLink">
              <a:rPr lang="en-US" cap="none" sz="1600" b="0" i="0" u="none" baseline="0"/>
              <a:t>$20,027 </a:t>
            </a:fld>
          </a:p>
        </xdr:txBody>
      </xdr:sp>
      <xdr:sp textlink="D86">
        <xdr:nvSpPr>
          <xdr:cNvPr id="41" name="TextBox 41"/>
          <xdr:cNvSpPr txBox="1">
            <a:spLocks noChangeArrowheads="1"/>
          </xdr:cNvSpPr>
        </xdr:nvSpPr>
        <xdr:spPr>
          <a:xfrm>
            <a:off x="391" y="563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8ccaefe7-dfbd-4fd9-adde-d05b1a425f69}" type="TxLink">
              <a:rPr lang="en-US" cap="none" sz="1600" b="0" i="0" u="none" baseline="0"/>
              <a:t>$22,234 </a:t>
            </a:fld>
          </a:p>
        </xdr:txBody>
      </xdr:sp>
      <xdr:sp textlink="D87">
        <xdr:nvSpPr>
          <xdr:cNvPr id="42" name="TextBox 42"/>
          <xdr:cNvSpPr txBox="1">
            <a:spLocks noChangeArrowheads="1"/>
          </xdr:cNvSpPr>
        </xdr:nvSpPr>
        <xdr:spPr>
          <a:xfrm>
            <a:off x="391" y="589"/>
            <a:ext cx="11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0b87f6b1-3cff-4456-9831-adf69e4d714e}" type="TxLink">
              <a:rPr lang="en-US" cap="none" sz="1600" b="0" i="0" u="none" baseline="0"/>
              <a:t>$24,510 </a:t>
            </a:fld>
          </a:p>
        </xdr:txBody>
      </xdr:sp>
    </xdr:grpSp>
    <xdr:clientData/>
  </xdr:twoCellAnchor>
  <xdr:oneCellAnchor>
    <xdr:from>
      <xdr:col>6</xdr:col>
      <xdr:colOff>495300</xdr:colOff>
      <xdr:row>31</xdr:row>
      <xdr:rowOff>133350</xdr:rowOff>
    </xdr:from>
    <xdr:ext cx="1209675" cy="285750"/>
    <xdr:sp textlink="F87">
      <xdr:nvSpPr>
        <xdr:cNvPr id="43" name="TextBox 43"/>
        <xdr:cNvSpPr txBox="1">
          <a:spLocks noChangeArrowheads="1"/>
        </xdr:cNvSpPr>
      </xdr:nvSpPr>
      <xdr:spPr>
        <a:xfrm>
          <a:off x="4895850" y="5591175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e00cab4b-5360-4064-bb42-65d77f4d1b79}" type="TxLink">
            <a:rPr lang="en-US" cap="none" sz="1600" b="0" i="0" u="none" baseline="0"/>
            <a:t>$284,713 </a:t>
          </a:fld>
        </a:p>
      </xdr:txBody>
    </xdr:sp>
    <xdr:clientData/>
  </xdr:oneCellAnchor>
  <xdr:oneCellAnchor>
    <xdr:from>
      <xdr:col>6</xdr:col>
      <xdr:colOff>495300</xdr:colOff>
      <xdr:row>31</xdr:row>
      <xdr:rowOff>142875</xdr:rowOff>
    </xdr:from>
    <xdr:ext cx="276225" cy="295275"/>
    <xdr:sp>
      <xdr:nvSpPr>
        <xdr:cNvPr id="44" name="TextBox 44"/>
        <xdr:cNvSpPr txBox="1">
          <a:spLocks noChangeArrowheads="1"/>
        </xdr:cNvSpPr>
      </xdr:nvSpPr>
      <xdr:spPr>
        <a:xfrm>
          <a:off x="4895850" y="560070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ctr">
            <a:defRPr/>
          </a:pPr>
          <a:r>
            <a:rPr lang="en-US" cap="none" sz="1600" b="0" i="0" u="none" baseline="0"/>
            <a:t>+</a:t>
          </a:r>
        </a:p>
      </xdr:txBody>
    </xdr:sp>
    <xdr:clientData/>
  </xdr:oneCellAnchor>
  <xdr:twoCellAnchor>
    <xdr:from>
      <xdr:col>5</xdr:col>
      <xdr:colOff>390525</xdr:colOff>
      <xdr:row>15</xdr:row>
      <xdr:rowOff>0</xdr:rowOff>
    </xdr:from>
    <xdr:to>
      <xdr:col>8</xdr:col>
      <xdr:colOff>571500</xdr:colOff>
      <xdr:row>33</xdr:row>
      <xdr:rowOff>123825</xdr:rowOff>
    </xdr:to>
    <xdr:grpSp>
      <xdr:nvGrpSpPr>
        <xdr:cNvPr id="45" name="Group 104"/>
        <xdr:cNvGrpSpPr>
          <a:grpSpLocks/>
        </xdr:cNvGrpSpPr>
      </xdr:nvGrpSpPr>
      <xdr:grpSpPr>
        <a:xfrm>
          <a:off x="3324225" y="2867025"/>
          <a:ext cx="2867025" cy="3038475"/>
          <a:chOff x="349" y="301"/>
          <a:chExt cx="301" cy="319"/>
        </a:xfrm>
        <a:solidFill>
          <a:srgbClr val="FFFFFF"/>
        </a:solidFill>
      </xdr:grpSpPr>
      <xdr:sp>
        <xdr:nvSpPr>
          <xdr:cNvPr id="46" name="TextBox 65"/>
          <xdr:cNvSpPr txBox="1">
            <a:spLocks noChangeArrowheads="1"/>
          </xdr:cNvSpPr>
        </xdr:nvSpPr>
        <xdr:spPr>
          <a:xfrm>
            <a:off x="349" y="301"/>
            <a:ext cx="54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EOY
0
1
2
3
4
5
6
7
8
9
10</a:t>
            </a:r>
          </a:p>
        </xdr:txBody>
      </xdr:sp>
      <xdr:sp>
        <xdr:nvSpPr>
          <xdr:cNvPr id="47" name="Line 66"/>
          <xdr:cNvSpPr>
            <a:spLocks/>
          </xdr:cNvSpPr>
        </xdr:nvSpPr>
        <xdr:spPr>
          <a:xfrm>
            <a:off x="401" y="309"/>
            <a:ext cx="0" cy="30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7"/>
          <xdr:cNvSpPr>
            <a:spLocks/>
          </xdr:cNvSpPr>
        </xdr:nvSpPr>
        <xdr:spPr>
          <a:xfrm flipV="1">
            <a:off x="356" y="329"/>
            <a:ext cx="2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68"/>
          <xdr:cNvSpPr txBox="1">
            <a:spLocks noChangeArrowheads="1"/>
          </xdr:cNvSpPr>
        </xdr:nvSpPr>
        <xdr:spPr>
          <a:xfrm>
            <a:off x="462" y="301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$</a:t>
            </a:r>
          </a:p>
        </xdr:txBody>
      </xdr:sp>
    </xdr:grpSp>
    <xdr:clientData/>
  </xdr:twoCellAnchor>
  <xdr:oneCellAnchor>
    <xdr:from>
      <xdr:col>5</xdr:col>
      <xdr:colOff>1019175</xdr:colOff>
      <xdr:row>9</xdr:row>
      <xdr:rowOff>142875</xdr:rowOff>
    </xdr:from>
    <xdr:ext cx="1676400" cy="790575"/>
    <xdr:sp>
      <xdr:nvSpPr>
        <xdr:cNvPr id="50" name="TextBox 79"/>
        <xdr:cNvSpPr txBox="1">
          <a:spLocks noChangeArrowheads="1"/>
        </xdr:cNvSpPr>
      </xdr:nvSpPr>
      <xdr:spPr>
        <a:xfrm>
          <a:off x="3952875" y="2038350"/>
          <a:ext cx="1676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1" u="none" baseline="0">
              <a:solidFill>
                <a:srgbClr val="339966"/>
              </a:solidFill>
              <a:latin typeface="Tahoma"/>
              <a:ea typeface="Tahoma"/>
              <a:cs typeface="Tahoma"/>
            </a:rPr>
            <a:t>Leveraged</a:t>
          </a:r>
          <a:r>
            <a:rPr lang="en-US" cap="none" sz="2400" b="0" i="1" u="dbl" baseline="0">
              <a:solidFill>
                <a:srgbClr val="339966"/>
              </a:solidFill>
              <a:latin typeface="Tahoma"/>
              <a:ea typeface="Tahoma"/>
              <a:cs typeface="Tahoma"/>
            </a:rPr>
            <a:t>
Before Tax</a:t>
          </a:r>
        </a:p>
      </xdr:txBody>
    </xdr:sp>
    <xdr:clientData/>
  </xdr:oneCellAnchor>
  <xdr:twoCellAnchor>
    <xdr:from>
      <xdr:col>5</xdr:col>
      <xdr:colOff>828675</xdr:colOff>
      <xdr:row>34</xdr:row>
      <xdr:rowOff>114300</xdr:rowOff>
    </xdr:from>
    <xdr:to>
      <xdr:col>8</xdr:col>
      <xdr:colOff>180975</xdr:colOff>
      <xdr:row>37</xdr:row>
      <xdr:rowOff>76200</xdr:rowOff>
    </xdr:to>
    <xdr:grpSp>
      <xdr:nvGrpSpPr>
        <xdr:cNvPr id="51" name="Group 81"/>
        <xdr:cNvGrpSpPr>
          <a:grpSpLocks/>
        </xdr:cNvGrpSpPr>
      </xdr:nvGrpSpPr>
      <xdr:grpSpPr>
        <a:xfrm>
          <a:off x="3762375" y="6057900"/>
          <a:ext cx="2038350" cy="447675"/>
          <a:chOff x="453" y="369"/>
          <a:chExt cx="214" cy="47"/>
        </a:xfrm>
        <a:solidFill>
          <a:srgbClr val="FFFFFF"/>
        </a:solidFill>
      </xdr:grpSpPr>
      <xdr:sp textlink="D89">
        <xdr:nvSpPr>
          <xdr:cNvPr id="52" name="TextBox 82"/>
          <xdr:cNvSpPr txBox="1">
            <a:spLocks noChangeArrowheads="1"/>
          </xdr:cNvSpPr>
        </xdr:nvSpPr>
        <xdr:spPr>
          <a:xfrm>
            <a:off x="522" y="369"/>
            <a:ext cx="145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98302f8d-901b-40df-9eda-286b880443cb}" type="TxLink">
              <a:rPr lang="en-US" cap="none" sz="2400" b="0" i="1" u="none" baseline="0">
                <a:solidFill>
                  <a:srgbClr val="339966"/>
                </a:solidFill>
              </a:rPr>
              <a:t>14.94%</a:t>
            </a:fld>
          </a:p>
        </xdr:txBody>
      </xdr:sp>
      <xdr:sp>
        <xdr:nvSpPr>
          <xdr:cNvPr id="53" name="TextBox 83"/>
          <xdr:cNvSpPr txBox="1">
            <a:spLocks noChangeArrowheads="1"/>
          </xdr:cNvSpPr>
        </xdr:nvSpPr>
        <xdr:spPr>
          <a:xfrm>
            <a:off x="453" y="372"/>
            <a:ext cx="10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r">
              <a:defRPr/>
            </a:pPr>
            <a:r>
              <a:rPr lang="en-US" cap="none" sz="2400" b="0" i="1" u="none" baseline="0">
                <a:solidFill>
                  <a:srgbClr val="339966"/>
                </a:solidFill>
              </a:rPr>
              <a:t>IRR =</a:t>
            </a:r>
          </a:p>
        </xdr:txBody>
      </xdr:sp>
    </xdr:grpSp>
    <xdr:clientData/>
  </xdr:twoCellAnchor>
  <xdr:twoCellAnchor>
    <xdr:from>
      <xdr:col>9</xdr:col>
      <xdr:colOff>38100</xdr:colOff>
      <xdr:row>16</xdr:row>
      <xdr:rowOff>85725</xdr:rowOff>
    </xdr:from>
    <xdr:to>
      <xdr:col>10</xdr:col>
      <xdr:colOff>352425</xdr:colOff>
      <xdr:row>18</xdr:row>
      <xdr:rowOff>47625</xdr:rowOff>
    </xdr:to>
    <xdr:sp textlink="J77">
      <xdr:nvSpPr>
        <xdr:cNvPr id="54" name="TextBox 45"/>
        <xdr:cNvSpPr txBox="1">
          <a:spLocks noChangeArrowheads="1"/>
        </xdr:cNvSpPr>
      </xdr:nvSpPr>
      <xdr:spPr>
        <a:xfrm>
          <a:off x="6276975" y="3114675"/>
          <a:ext cx="1733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aeeb4e44-f217-4672-8d26-1548913c2b55}" type="TxLink">
            <a:rPr lang="en-US" cap="none" sz="1600" b="0" i="0" u="none" baseline="0"/>
            <a:t>($135,200)</a:t>
          </a:fld>
        </a:p>
      </xdr:txBody>
    </xdr:sp>
    <xdr:clientData/>
  </xdr:twoCellAnchor>
  <xdr:twoCellAnchor>
    <xdr:from>
      <xdr:col>9</xdr:col>
      <xdr:colOff>466725</xdr:colOff>
      <xdr:row>18</xdr:row>
      <xdr:rowOff>9525</xdr:rowOff>
    </xdr:from>
    <xdr:to>
      <xdr:col>10</xdr:col>
      <xdr:colOff>352425</xdr:colOff>
      <xdr:row>19</xdr:row>
      <xdr:rowOff>133350</xdr:rowOff>
    </xdr:to>
    <xdr:sp textlink="J78">
      <xdr:nvSpPr>
        <xdr:cNvPr id="55" name="TextBox 46"/>
        <xdr:cNvSpPr txBox="1">
          <a:spLocks noChangeArrowheads="1"/>
        </xdr:cNvSpPr>
      </xdr:nvSpPr>
      <xdr:spPr>
        <a:xfrm>
          <a:off x="6705600" y="3362325"/>
          <a:ext cx="1304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9ca59f0d-62bd-4d69-beba-ea91894e081b}" type="TxLink">
            <a:rPr lang="en-US" cap="none" sz="1600" b="0" i="0" u="none" baseline="0"/>
            <a:t>$8,190 </a:t>
          </a:fld>
        </a:p>
      </xdr:txBody>
    </xdr:sp>
    <xdr:clientData/>
  </xdr:twoCellAnchor>
  <xdr:twoCellAnchor>
    <xdr:from>
      <xdr:col>9</xdr:col>
      <xdr:colOff>466725</xdr:colOff>
      <xdr:row>19</xdr:row>
      <xdr:rowOff>95250</xdr:rowOff>
    </xdr:from>
    <xdr:to>
      <xdr:col>10</xdr:col>
      <xdr:colOff>352425</xdr:colOff>
      <xdr:row>21</xdr:row>
      <xdr:rowOff>57150</xdr:rowOff>
    </xdr:to>
    <xdr:sp textlink="J79">
      <xdr:nvSpPr>
        <xdr:cNvPr id="56" name="TextBox 47"/>
        <xdr:cNvSpPr txBox="1">
          <a:spLocks noChangeArrowheads="1"/>
        </xdr:cNvSpPr>
      </xdr:nvSpPr>
      <xdr:spPr>
        <a:xfrm>
          <a:off x="6705600" y="3609975"/>
          <a:ext cx="1304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b2ca2d2e-c7b3-45f6-b597-1ba2eee3cbee}" type="TxLink">
            <a:rPr lang="en-US" cap="none" sz="1600" b="0" i="0" u="none" baseline="0"/>
            <a:t>$9,441 </a:t>
          </a:fld>
        </a:p>
      </xdr:txBody>
    </xdr:sp>
    <xdr:clientData/>
  </xdr:twoCellAnchor>
  <xdr:twoCellAnchor>
    <xdr:from>
      <xdr:col>9</xdr:col>
      <xdr:colOff>38100</xdr:colOff>
      <xdr:row>21</xdr:row>
      <xdr:rowOff>19050</xdr:rowOff>
    </xdr:from>
    <xdr:to>
      <xdr:col>10</xdr:col>
      <xdr:colOff>352425</xdr:colOff>
      <xdr:row>22</xdr:row>
      <xdr:rowOff>142875</xdr:rowOff>
    </xdr:to>
    <xdr:sp textlink="J80">
      <xdr:nvSpPr>
        <xdr:cNvPr id="57" name="TextBox 48"/>
        <xdr:cNvSpPr txBox="1">
          <a:spLocks noChangeArrowheads="1"/>
        </xdr:cNvSpPr>
      </xdr:nvSpPr>
      <xdr:spPr>
        <a:xfrm>
          <a:off x="6276975" y="3857625"/>
          <a:ext cx="1733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f186b6f9-51e1-48b3-b300-0f7ee9fa6772}" type="TxLink">
            <a:rPr lang="en-US" cap="none" sz="1600" b="0" i="0" u="none" baseline="0"/>
            <a:t>$10,446 </a:t>
          </a:fld>
        </a:p>
      </xdr:txBody>
    </xdr:sp>
    <xdr:clientData/>
  </xdr:twoCellAnchor>
  <xdr:twoCellAnchor>
    <xdr:from>
      <xdr:col>9</xdr:col>
      <xdr:colOff>295275</xdr:colOff>
      <xdr:row>22</xdr:row>
      <xdr:rowOff>104775</xdr:rowOff>
    </xdr:from>
    <xdr:to>
      <xdr:col>10</xdr:col>
      <xdr:colOff>352425</xdr:colOff>
      <xdr:row>24</xdr:row>
      <xdr:rowOff>66675</xdr:rowOff>
    </xdr:to>
    <xdr:sp textlink="J81">
      <xdr:nvSpPr>
        <xdr:cNvPr id="58" name="TextBox 49"/>
        <xdr:cNvSpPr txBox="1">
          <a:spLocks noChangeArrowheads="1"/>
        </xdr:cNvSpPr>
      </xdr:nvSpPr>
      <xdr:spPr>
        <a:xfrm>
          <a:off x="6534150" y="410527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dffec717-c066-448a-9deb-5b736b8f7cc6}" type="TxLink">
            <a:rPr lang="en-US" cap="none" sz="1600" b="0" i="0" u="none" baseline="0"/>
            <a:t>$11,470 </a:t>
          </a:fld>
        </a:p>
      </xdr:txBody>
    </xdr:sp>
    <xdr:clientData/>
  </xdr:twoCellAnchor>
  <xdr:twoCellAnchor>
    <xdr:from>
      <xdr:col>9</xdr:col>
      <xdr:colOff>295275</xdr:colOff>
      <xdr:row>24</xdr:row>
      <xdr:rowOff>28575</xdr:rowOff>
    </xdr:from>
    <xdr:to>
      <xdr:col>10</xdr:col>
      <xdr:colOff>352425</xdr:colOff>
      <xdr:row>25</xdr:row>
      <xdr:rowOff>152400</xdr:rowOff>
    </xdr:to>
    <xdr:sp textlink="J82">
      <xdr:nvSpPr>
        <xdr:cNvPr id="59" name="TextBox 50"/>
        <xdr:cNvSpPr txBox="1">
          <a:spLocks noChangeArrowheads="1"/>
        </xdr:cNvSpPr>
      </xdr:nvSpPr>
      <xdr:spPr>
        <a:xfrm>
          <a:off x="6534150" y="435292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97a409ed-49b1-4d83-bae3-9c793cde15c2}" type="TxLink">
            <a:rPr lang="en-US" cap="none" sz="1600" b="0" i="0" u="none" baseline="0"/>
            <a:t>$12,515 </a:t>
          </a:fld>
        </a:p>
      </xdr:txBody>
    </xdr:sp>
    <xdr:clientData/>
  </xdr:twoCellAnchor>
  <xdr:twoCellAnchor>
    <xdr:from>
      <xdr:col>9</xdr:col>
      <xdr:colOff>295275</xdr:colOff>
      <xdr:row>25</xdr:row>
      <xdr:rowOff>114300</xdr:rowOff>
    </xdr:from>
    <xdr:to>
      <xdr:col>10</xdr:col>
      <xdr:colOff>352425</xdr:colOff>
      <xdr:row>27</xdr:row>
      <xdr:rowOff>76200</xdr:rowOff>
    </xdr:to>
    <xdr:sp textlink="J83">
      <xdr:nvSpPr>
        <xdr:cNvPr id="60" name="TextBox 51"/>
        <xdr:cNvSpPr txBox="1">
          <a:spLocks noChangeArrowheads="1"/>
        </xdr:cNvSpPr>
      </xdr:nvSpPr>
      <xdr:spPr>
        <a:xfrm>
          <a:off x="6534150" y="460057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686bb1a9-4cd1-4eb6-8292-1ea64e31dc85}" type="TxLink">
            <a:rPr lang="en-US" cap="none" sz="1600" b="0" i="0" u="none" baseline="0"/>
            <a:t>$13,578 </a:t>
          </a:fld>
        </a:p>
      </xdr:txBody>
    </xdr:sp>
    <xdr:clientData/>
  </xdr:twoCellAnchor>
  <xdr:twoCellAnchor>
    <xdr:from>
      <xdr:col>9</xdr:col>
      <xdr:colOff>295275</xdr:colOff>
      <xdr:row>27</xdr:row>
      <xdr:rowOff>38100</xdr:rowOff>
    </xdr:from>
    <xdr:to>
      <xdr:col>10</xdr:col>
      <xdr:colOff>352425</xdr:colOff>
      <xdr:row>29</xdr:row>
      <xdr:rowOff>0</xdr:rowOff>
    </xdr:to>
    <xdr:sp textlink="J84">
      <xdr:nvSpPr>
        <xdr:cNvPr id="61" name="TextBox 52"/>
        <xdr:cNvSpPr txBox="1">
          <a:spLocks noChangeArrowheads="1"/>
        </xdr:cNvSpPr>
      </xdr:nvSpPr>
      <xdr:spPr>
        <a:xfrm>
          <a:off x="6534150" y="484822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70db1326-6908-460f-8b9a-960f1d81fa5b}" type="TxLink">
            <a:rPr lang="en-US" cap="none" sz="1600" b="0" i="0" u="none" baseline="0"/>
            <a:t>$14,661 </a:t>
          </a:fld>
        </a:p>
      </xdr:txBody>
    </xdr:sp>
    <xdr:clientData/>
  </xdr:twoCellAnchor>
  <xdr:twoCellAnchor>
    <xdr:from>
      <xdr:col>9</xdr:col>
      <xdr:colOff>295275</xdr:colOff>
      <xdr:row>28</xdr:row>
      <xdr:rowOff>123825</xdr:rowOff>
    </xdr:from>
    <xdr:to>
      <xdr:col>10</xdr:col>
      <xdr:colOff>352425</xdr:colOff>
      <xdr:row>30</xdr:row>
      <xdr:rowOff>85725</xdr:rowOff>
    </xdr:to>
    <xdr:sp textlink="J85">
      <xdr:nvSpPr>
        <xdr:cNvPr id="62" name="TextBox 53"/>
        <xdr:cNvSpPr txBox="1">
          <a:spLocks noChangeArrowheads="1"/>
        </xdr:cNvSpPr>
      </xdr:nvSpPr>
      <xdr:spPr>
        <a:xfrm>
          <a:off x="6534150" y="509587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863ad75b-5dea-49a3-87fd-6282b27712c5}" type="TxLink">
            <a:rPr lang="en-US" cap="none" sz="1600" b="0" i="0" u="none" baseline="0"/>
            <a:t>$15,761 </a:t>
          </a:fld>
        </a:p>
      </xdr:txBody>
    </xdr:sp>
    <xdr:clientData/>
  </xdr:twoCellAnchor>
  <xdr:twoCellAnchor>
    <xdr:from>
      <xdr:col>9</xdr:col>
      <xdr:colOff>295275</xdr:colOff>
      <xdr:row>30</xdr:row>
      <xdr:rowOff>47625</xdr:rowOff>
    </xdr:from>
    <xdr:to>
      <xdr:col>10</xdr:col>
      <xdr:colOff>352425</xdr:colOff>
      <xdr:row>32</xdr:row>
      <xdr:rowOff>9525</xdr:rowOff>
    </xdr:to>
    <xdr:sp textlink="J86">
      <xdr:nvSpPr>
        <xdr:cNvPr id="63" name="TextBox 54"/>
        <xdr:cNvSpPr txBox="1">
          <a:spLocks noChangeArrowheads="1"/>
        </xdr:cNvSpPr>
      </xdr:nvSpPr>
      <xdr:spPr>
        <a:xfrm>
          <a:off x="6534150" y="534352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1903a826-f354-405a-83f3-453448dfc4a9}" type="TxLink">
            <a:rPr lang="en-US" cap="none" sz="1600" b="0" i="0" u="none" baseline="0"/>
            <a:t>$16,879 </a:t>
          </a:fld>
        </a:p>
      </xdr:txBody>
    </xdr:sp>
    <xdr:clientData/>
  </xdr:twoCellAnchor>
  <xdr:twoCellAnchor>
    <xdr:from>
      <xdr:col>9</xdr:col>
      <xdr:colOff>295275</xdr:colOff>
      <xdr:row>31</xdr:row>
      <xdr:rowOff>133350</xdr:rowOff>
    </xdr:from>
    <xdr:to>
      <xdr:col>10</xdr:col>
      <xdr:colOff>352425</xdr:colOff>
      <xdr:row>33</xdr:row>
      <xdr:rowOff>95250</xdr:rowOff>
    </xdr:to>
    <xdr:sp textlink="J87">
      <xdr:nvSpPr>
        <xdr:cNvPr id="64" name="TextBox 55"/>
        <xdr:cNvSpPr txBox="1">
          <a:spLocks noChangeArrowheads="1"/>
        </xdr:cNvSpPr>
      </xdr:nvSpPr>
      <xdr:spPr>
        <a:xfrm>
          <a:off x="6534150" y="5591175"/>
          <a:ext cx="1476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51bb6dd2-ba55-4dd2-b6cc-276bfa1275fc}" type="TxLink">
            <a:rPr lang="en-US" cap="none" sz="1600" b="0" i="0" u="none" baseline="0"/>
            <a:t>$17,747 </a:t>
          </a:fld>
        </a:p>
      </xdr:txBody>
    </xdr:sp>
    <xdr:clientData/>
  </xdr:twoCellAnchor>
  <xdr:twoCellAnchor>
    <xdr:from>
      <xdr:col>9</xdr:col>
      <xdr:colOff>1314450</xdr:colOff>
      <xdr:row>31</xdr:row>
      <xdr:rowOff>133350</xdr:rowOff>
    </xdr:from>
    <xdr:to>
      <xdr:col>11</xdr:col>
      <xdr:colOff>1266825</xdr:colOff>
      <xdr:row>33</xdr:row>
      <xdr:rowOff>95250</xdr:rowOff>
    </xdr:to>
    <xdr:sp textlink="L87">
      <xdr:nvSpPr>
        <xdr:cNvPr id="65" name="TextBox 57"/>
        <xdr:cNvSpPr txBox="1">
          <a:spLocks noChangeArrowheads="1"/>
        </xdr:cNvSpPr>
      </xdr:nvSpPr>
      <xdr:spPr>
        <a:xfrm>
          <a:off x="7553325" y="5591175"/>
          <a:ext cx="1752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fld id="{118705d3-8e14-49d5-85e0-c3e15cd9f4eb}" type="TxLink">
            <a:rPr lang="en-US" cap="none" sz="1600" b="0" i="0" u="none" baseline="0"/>
            <a:t>$230,300 </a:t>
          </a:fld>
        </a:p>
      </xdr:txBody>
    </xdr:sp>
    <xdr:clientData/>
  </xdr:twoCellAnchor>
  <xdr:oneCellAnchor>
    <xdr:from>
      <xdr:col>10</xdr:col>
      <xdr:colOff>371475</xdr:colOff>
      <xdr:row>31</xdr:row>
      <xdr:rowOff>142875</xdr:rowOff>
    </xdr:from>
    <xdr:ext cx="276225" cy="295275"/>
    <xdr:sp>
      <xdr:nvSpPr>
        <xdr:cNvPr id="66" name="TextBox 59"/>
        <xdr:cNvSpPr txBox="1">
          <a:spLocks noChangeArrowheads="1"/>
        </xdr:cNvSpPr>
      </xdr:nvSpPr>
      <xdr:spPr>
        <a:xfrm>
          <a:off x="8029575" y="5600700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600" b="0" i="0" u="none" baseline="0"/>
            <a:t>+</a:t>
          </a:r>
        </a:p>
      </xdr:txBody>
    </xdr:sp>
    <xdr:clientData/>
  </xdr:oneCellAnchor>
  <xdr:twoCellAnchor>
    <xdr:from>
      <xdr:col>9</xdr:col>
      <xdr:colOff>228600</xdr:colOff>
      <xdr:row>15</xdr:row>
      <xdr:rowOff>0</xdr:rowOff>
    </xdr:from>
    <xdr:to>
      <xdr:col>11</xdr:col>
      <xdr:colOff>1295400</xdr:colOff>
      <xdr:row>33</xdr:row>
      <xdr:rowOff>123825</xdr:rowOff>
    </xdr:to>
    <xdr:grpSp>
      <xdr:nvGrpSpPr>
        <xdr:cNvPr id="67" name="Group 105"/>
        <xdr:cNvGrpSpPr>
          <a:grpSpLocks/>
        </xdr:cNvGrpSpPr>
      </xdr:nvGrpSpPr>
      <xdr:grpSpPr>
        <a:xfrm>
          <a:off x="6467475" y="2867025"/>
          <a:ext cx="2867025" cy="3038475"/>
          <a:chOff x="679" y="301"/>
          <a:chExt cx="301" cy="319"/>
        </a:xfrm>
        <a:solidFill>
          <a:srgbClr val="FFFFFF"/>
        </a:solidFill>
      </xdr:grpSpPr>
      <xdr:sp>
        <xdr:nvSpPr>
          <xdr:cNvPr id="68" name="TextBox 70"/>
          <xdr:cNvSpPr txBox="1">
            <a:spLocks noChangeArrowheads="1"/>
          </xdr:cNvSpPr>
        </xdr:nvSpPr>
        <xdr:spPr>
          <a:xfrm>
            <a:off x="679" y="301"/>
            <a:ext cx="55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EOY
0
1
2
3
4
5
6
7
8
9
10</a:t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731" y="309"/>
            <a:ext cx="0" cy="30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 flipV="1">
            <a:off x="686" y="329"/>
            <a:ext cx="29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Box 73"/>
          <xdr:cNvSpPr txBox="1">
            <a:spLocks noChangeArrowheads="1"/>
          </xdr:cNvSpPr>
        </xdr:nvSpPr>
        <xdr:spPr>
          <a:xfrm>
            <a:off x="792" y="301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ctr">
              <a:defRPr/>
            </a:pPr>
            <a:r>
              <a:rPr lang="en-US" cap="none" sz="1600" b="0" i="0" u="none" baseline="0"/>
              <a:t>$</a:t>
            </a:r>
          </a:p>
        </xdr:txBody>
      </xdr:sp>
    </xdr:grpSp>
    <xdr:clientData/>
  </xdr:twoCellAnchor>
  <xdr:oneCellAnchor>
    <xdr:from>
      <xdr:col>9</xdr:col>
      <xdr:colOff>866775</xdr:colOff>
      <xdr:row>9</xdr:row>
      <xdr:rowOff>142875</xdr:rowOff>
    </xdr:from>
    <xdr:ext cx="1657350" cy="790575"/>
    <xdr:sp>
      <xdr:nvSpPr>
        <xdr:cNvPr id="72" name="TextBox 80"/>
        <xdr:cNvSpPr txBox="1">
          <a:spLocks noChangeArrowheads="1"/>
        </xdr:cNvSpPr>
      </xdr:nvSpPr>
      <xdr:spPr>
        <a:xfrm>
          <a:off x="7105650" y="2038350"/>
          <a:ext cx="16573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0" i="1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Leveraged</a:t>
          </a:r>
          <a:r>
            <a:rPr lang="en-US" cap="none" sz="2400" b="0" i="1" u="dbl" baseline="0">
              <a:solidFill>
                <a:srgbClr val="FF0000"/>
              </a:solidFill>
              <a:latin typeface="Tahoma"/>
              <a:ea typeface="Tahoma"/>
              <a:cs typeface="Tahoma"/>
            </a:rPr>
            <a:t>
After Tax</a:t>
          </a:r>
        </a:p>
      </xdr:txBody>
    </xdr:sp>
    <xdr:clientData/>
  </xdr:oneCellAnchor>
  <xdr:twoCellAnchor>
    <xdr:from>
      <xdr:col>9</xdr:col>
      <xdr:colOff>714375</xdr:colOff>
      <xdr:row>34</xdr:row>
      <xdr:rowOff>114300</xdr:rowOff>
    </xdr:from>
    <xdr:to>
      <xdr:col>11</xdr:col>
      <xdr:colOff>942975</xdr:colOff>
      <xdr:row>37</xdr:row>
      <xdr:rowOff>76200</xdr:rowOff>
    </xdr:to>
    <xdr:grpSp>
      <xdr:nvGrpSpPr>
        <xdr:cNvPr id="73" name="Group 96"/>
        <xdr:cNvGrpSpPr>
          <a:grpSpLocks/>
        </xdr:cNvGrpSpPr>
      </xdr:nvGrpSpPr>
      <xdr:grpSpPr>
        <a:xfrm>
          <a:off x="6953250" y="6057900"/>
          <a:ext cx="2028825" cy="447675"/>
          <a:chOff x="730" y="636"/>
          <a:chExt cx="213" cy="47"/>
        </a:xfrm>
        <a:solidFill>
          <a:srgbClr val="FFFFFF"/>
        </a:solidFill>
      </xdr:grpSpPr>
      <xdr:sp textlink="J89">
        <xdr:nvSpPr>
          <xdr:cNvPr id="74" name="TextBox 85"/>
          <xdr:cNvSpPr txBox="1">
            <a:spLocks noChangeArrowheads="1"/>
          </xdr:cNvSpPr>
        </xdr:nvSpPr>
        <xdr:spPr>
          <a:xfrm>
            <a:off x="798" y="636"/>
            <a:ext cx="145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r">
              <a:defRPr/>
            </a:pPr>
            <a:fld id="{db5fc8c3-34d8-46c4-b3c2-424f0504f254}" type="TxLink">
              <a:rPr lang="en-US" cap="none" sz="2400" b="0" i="1" u="none" baseline="0">
                <a:solidFill>
                  <a:srgbClr val="FF0000"/>
                </a:solidFill>
              </a:rPr>
              <a:t>12.77%</a:t>
            </a:fld>
          </a:p>
        </xdr:txBody>
      </xdr:sp>
      <xdr:sp>
        <xdr:nvSpPr>
          <xdr:cNvPr id="75" name="TextBox 86"/>
          <xdr:cNvSpPr txBox="1">
            <a:spLocks noChangeArrowheads="1"/>
          </xdr:cNvSpPr>
        </xdr:nvSpPr>
        <xdr:spPr>
          <a:xfrm>
            <a:off x="730" y="639"/>
            <a:ext cx="10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>
            <a:spAutoFit/>
          </a:bodyPr>
          <a:p>
            <a:pPr algn="r">
              <a:defRPr/>
            </a:pPr>
            <a:r>
              <a:rPr lang="en-US" cap="none" sz="2400" b="0" i="1" u="none" baseline="0">
                <a:solidFill>
                  <a:srgbClr val="FF0000"/>
                </a:solidFill>
              </a:rPr>
              <a:t>IRR =</a:t>
            </a:r>
          </a:p>
        </xdr:txBody>
      </xdr:sp>
    </xdr:grpSp>
    <xdr:clientData/>
  </xdr:twoCellAnchor>
  <xdr:twoCellAnchor>
    <xdr:from>
      <xdr:col>0</xdr:col>
      <xdr:colOff>200025</xdr:colOff>
      <xdr:row>1</xdr:row>
      <xdr:rowOff>114300</xdr:rowOff>
    </xdr:from>
    <xdr:to>
      <xdr:col>11</xdr:col>
      <xdr:colOff>1381125</xdr:colOff>
      <xdr:row>6</xdr:row>
      <xdr:rowOff>152400</xdr:rowOff>
    </xdr:to>
    <xdr:sp>
      <xdr:nvSpPr>
        <xdr:cNvPr id="76" name="Rectangle 97"/>
        <xdr:cNvSpPr>
          <a:spLocks/>
        </xdr:cNvSpPr>
      </xdr:nvSpPr>
      <xdr:spPr>
        <a:xfrm>
          <a:off x="200025" y="276225"/>
          <a:ext cx="9220200" cy="1285875"/>
        </a:xfrm>
        <a:prstGeom prst="round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1" u="none" baseline="0">
              <a:solidFill>
                <a:srgbClr val="0000FF"/>
              </a:solidFill>
            </a:rPr>
            <a:t>Projected Investment Yields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4"/>
  <sheetViews>
    <sheetView tabSelected="1" workbookViewId="0" topLeftCell="A2">
      <selection activeCell="D25" sqref="D25"/>
    </sheetView>
  </sheetViews>
  <sheetFormatPr defaultColWidth="9.140625" defaultRowHeight="12.75"/>
  <cols>
    <col min="1" max="8" width="15.7109375" style="0" customWidth="1"/>
  </cols>
  <sheetData>
    <row r="1" ht="15" customHeight="1"/>
    <row r="2" ht="15" customHeight="1"/>
    <row r="3" spans="1:6" ht="15" customHeight="1">
      <c r="A3" t="s">
        <v>173</v>
      </c>
      <c r="B3" s="200" t="s">
        <v>171</v>
      </c>
      <c r="C3" s="201"/>
      <c r="D3" s="201"/>
      <c r="E3" s="201"/>
      <c r="F3" s="201"/>
    </row>
    <row r="4" ht="15" customHeight="1"/>
    <row r="5" ht="15" customHeight="1">
      <c r="A5" t="s">
        <v>148</v>
      </c>
    </row>
    <row r="6" ht="15" customHeight="1">
      <c r="A6" t="s">
        <v>149</v>
      </c>
    </row>
    <row r="7" ht="15" customHeight="1">
      <c r="A7" t="s">
        <v>150</v>
      </c>
    </row>
    <row r="8" ht="15" customHeight="1">
      <c r="A8" t="s">
        <v>151</v>
      </c>
    </row>
    <row r="9" ht="15" customHeight="1">
      <c r="A9" t="s">
        <v>152</v>
      </c>
    </row>
    <row r="10" ht="15" customHeight="1">
      <c r="A10" t="s">
        <v>153</v>
      </c>
    </row>
    <row r="11" ht="15" customHeight="1"/>
    <row r="12" ht="15" customHeight="1">
      <c r="A12" t="s">
        <v>154</v>
      </c>
    </row>
    <row r="13" ht="15" customHeight="1">
      <c r="A13" t="s">
        <v>155</v>
      </c>
    </row>
    <row r="14" ht="15" customHeight="1">
      <c r="A14" t="s">
        <v>156</v>
      </c>
    </row>
    <row r="15" ht="15" customHeight="1">
      <c r="A15" t="s">
        <v>157</v>
      </c>
    </row>
    <row r="16" ht="15" customHeight="1"/>
    <row r="17" ht="15" customHeight="1">
      <c r="A17" t="s">
        <v>158</v>
      </c>
    </row>
    <row r="18" ht="15" customHeight="1">
      <c r="A18" t="s">
        <v>159</v>
      </c>
    </row>
    <row r="19" ht="15" customHeight="1"/>
    <row r="20" ht="15" customHeight="1">
      <c r="A20" t="s">
        <v>174</v>
      </c>
    </row>
    <row r="21" ht="15" customHeight="1">
      <c r="A21" t="s">
        <v>175</v>
      </c>
    </row>
    <row r="22" ht="15" customHeight="1">
      <c r="A22" t="s">
        <v>176</v>
      </c>
    </row>
    <row r="23" ht="15" customHeight="1">
      <c r="A23" t="s">
        <v>177</v>
      </c>
    </row>
    <row r="24" ht="15" customHeight="1">
      <c r="A24" s="221" t="s">
        <v>180</v>
      </c>
    </row>
    <row r="25" ht="15" customHeight="1"/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3:I72"/>
  <sheetViews>
    <sheetView showGridLines="0" showRowColHeaders="0" zoomScale="70" zoomScaleNormal="70" workbookViewId="0" topLeftCell="A1">
      <selection activeCell="F13" sqref="F13"/>
    </sheetView>
  </sheetViews>
  <sheetFormatPr defaultColWidth="9.140625" defaultRowHeight="12.75"/>
  <cols>
    <col min="1" max="1" width="5.7109375" style="15" customWidth="1"/>
    <col min="2" max="2" width="94.7109375" style="15" customWidth="1"/>
    <col min="3" max="4" width="18.7109375" style="15" customWidth="1"/>
    <col min="5" max="5" width="12.8515625" style="15" bestFit="1" customWidth="1"/>
    <col min="6" max="16384" width="9.140625" style="15" customWidth="1"/>
  </cols>
  <sheetData>
    <row r="1" ht="2.25" customHeight="1" thickBot="1"/>
    <row r="2" ht="12.75" hidden="1"/>
    <row r="3" spans="1:6" ht="19.5" thickBot="1" thickTop="1">
      <c r="A3" s="205" t="s">
        <v>22</v>
      </c>
      <c r="B3" s="208"/>
      <c r="C3" s="209"/>
      <c r="D3" s="50"/>
      <c r="E3" s="16"/>
      <c r="F3" s="16"/>
    </row>
    <row r="4" spans="1:6" ht="16.5" thickTop="1">
      <c r="A4" s="36" t="s">
        <v>82</v>
      </c>
      <c r="B4" s="25" t="s">
        <v>23</v>
      </c>
      <c r="C4" s="169">
        <v>0.34</v>
      </c>
      <c r="D4" s="29"/>
      <c r="E4" s="17"/>
      <c r="F4" s="17"/>
    </row>
    <row r="5" spans="1:9" ht="15.75">
      <c r="A5" s="37" t="s">
        <v>83</v>
      </c>
      <c r="B5" s="26" t="s">
        <v>24</v>
      </c>
      <c r="C5" s="170">
        <v>0.15</v>
      </c>
      <c r="D5" s="29"/>
      <c r="E5" s="16"/>
      <c r="F5" s="16"/>
      <c r="G5" s="16"/>
      <c r="H5" s="16"/>
      <c r="I5" s="18"/>
    </row>
    <row r="6" spans="1:6" ht="15.75">
      <c r="A6" s="37" t="s">
        <v>84</v>
      </c>
      <c r="B6" s="26" t="s">
        <v>25</v>
      </c>
      <c r="C6" s="170">
        <v>0.25</v>
      </c>
      <c r="D6" s="29"/>
      <c r="E6" s="17"/>
      <c r="F6" s="17"/>
    </row>
    <row r="7" spans="1:6" ht="16.5" thickBot="1">
      <c r="A7" s="37" t="s">
        <v>85</v>
      </c>
      <c r="B7" s="26" t="s">
        <v>19</v>
      </c>
      <c r="C7" s="171">
        <v>10</v>
      </c>
      <c r="D7" s="29"/>
      <c r="E7" s="17"/>
      <c r="F7" s="17"/>
    </row>
    <row r="8" spans="1:6" ht="17.25" thickBot="1" thickTop="1">
      <c r="A8" s="37" t="s">
        <v>86</v>
      </c>
      <c r="B8" s="187" t="s">
        <v>144</v>
      </c>
      <c r="C8" s="188">
        <v>0.1</v>
      </c>
      <c r="D8" s="28">
        <f>'Sale Proceeds'!D75</f>
        <v>760565.7218372135</v>
      </c>
      <c r="E8" s="17"/>
      <c r="F8" s="17"/>
    </row>
    <row r="9" spans="1:6" ht="17.25" thickBot="1" thickTop="1">
      <c r="A9" s="38" t="s">
        <v>87</v>
      </c>
      <c r="B9" s="27" t="s">
        <v>11</v>
      </c>
      <c r="C9" s="172">
        <v>0.07</v>
      </c>
      <c r="D9" s="29" t="s">
        <v>179</v>
      </c>
      <c r="E9" s="17"/>
      <c r="F9" s="17"/>
    </row>
    <row r="10" spans="1:6" ht="19.5" thickBot="1" thickTop="1">
      <c r="A10" s="205" t="s">
        <v>147</v>
      </c>
      <c r="B10" s="208"/>
      <c r="C10" s="209"/>
      <c r="D10" s="29" t="s">
        <v>178</v>
      </c>
      <c r="E10" s="17"/>
      <c r="F10" s="17"/>
    </row>
    <row r="11" spans="1:6" ht="17.25" thickBot="1" thickTop="1">
      <c r="A11" s="36" t="s">
        <v>88</v>
      </c>
      <c r="B11" s="25" t="s">
        <v>58</v>
      </c>
      <c r="C11" s="173">
        <v>650000</v>
      </c>
      <c r="D11" s="28">
        <f>IF(C11=0,0,IF(C11&lt;100,('Cash Flow Proforma'!D12/'Cash Flow IRR Module Inputs'!C11)*100,'Cash Flow IRR Module Inputs'!C11))</f>
        <v>650000</v>
      </c>
      <c r="E11" s="17"/>
      <c r="F11" s="17"/>
    </row>
    <row r="12" spans="1:6" ht="16.5" thickTop="1">
      <c r="A12" s="37" t="s">
        <v>89</v>
      </c>
      <c r="B12" s="26" t="s">
        <v>123</v>
      </c>
      <c r="C12" s="174">
        <v>0</v>
      </c>
      <c r="D12" s="29"/>
      <c r="E12" s="17"/>
      <c r="F12" s="222"/>
    </row>
    <row r="13" spans="1:6" ht="15.75">
      <c r="A13" s="37" t="s">
        <v>90</v>
      </c>
      <c r="B13" s="26" t="s">
        <v>10</v>
      </c>
      <c r="C13" s="170">
        <v>0.8</v>
      </c>
      <c r="D13" s="30"/>
      <c r="F13" s="223"/>
    </row>
    <row r="14" spans="1:6" ht="15.75">
      <c r="A14" s="37" t="s">
        <v>91</v>
      </c>
      <c r="B14" s="26" t="s">
        <v>18</v>
      </c>
      <c r="C14" s="175">
        <v>27.5</v>
      </c>
      <c r="D14" s="29"/>
      <c r="E14" s="17"/>
      <c r="F14" s="17"/>
    </row>
    <row r="15" spans="1:6" ht="15.75">
      <c r="A15" s="37" t="s">
        <v>92</v>
      </c>
      <c r="B15" s="31" t="s">
        <v>49</v>
      </c>
      <c r="C15" s="174">
        <v>90000</v>
      </c>
      <c r="D15" s="170">
        <v>0.03</v>
      </c>
      <c r="E15" s="17"/>
      <c r="F15" s="17"/>
    </row>
    <row r="16" spans="1:6" ht="15.75">
      <c r="A16" s="37" t="s">
        <v>93</v>
      </c>
      <c r="B16" s="31" t="s">
        <v>145</v>
      </c>
      <c r="C16" s="170">
        <v>0.05</v>
      </c>
      <c r="D16" s="32"/>
      <c r="E16" s="17"/>
      <c r="F16" s="17"/>
    </row>
    <row r="17" spans="1:6" ht="15.75">
      <c r="A17" s="37" t="s">
        <v>94</v>
      </c>
      <c r="B17" s="31" t="s">
        <v>46</v>
      </c>
      <c r="C17" s="170">
        <v>0.08</v>
      </c>
      <c r="D17" s="32"/>
      <c r="E17" s="17"/>
      <c r="F17" s="17"/>
    </row>
    <row r="18" spans="1:6" ht="15.75">
      <c r="A18" s="37" t="s">
        <v>95</v>
      </c>
      <c r="B18" s="31" t="s">
        <v>50</v>
      </c>
      <c r="C18" s="174">
        <v>8926</v>
      </c>
      <c r="D18" s="170">
        <v>0.02</v>
      </c>
      <c r="E18" s="17"/>
      <c r="F18" s="17"/>
    </row>
    <row r="19" spans="1:6" ht="15.75">
      <c r="A19" s="37" t="s">
        <v>96</v>
      </c>
      <c r="B19" s="31" t="s">
        <v>51</v>
      </c>
      <c r="C19" s="174">
        <v>2437</v>
      </c>
      <c r="D19" s="170">
        <v>0.02</v>
      </c>
      <c r="E19" s="19"/>
      <c r="F19" s="17"/>
    </row>
    <row r="20" spans="1:6" ht="15.75">
      <c r="A20" s="37" t="s">
        <v>97</v>
      </c>
      <c r="B20" s="31" t="s">
        <v>52</v>
      </c>
      <c r="C20" s="174">
        <v>10560</v>
      </c>
      <c r="D20" s="170">
        <v>0.03</v>
      </c>
      <c r="E20" s="17"/>
      <c r="F20" s="17"/>
    </row>
    <row r="21" spans="1:6" ht="16.5" thickBot="1">
      <c r="A21" s="38" t="s">
        <v>98</v>
      </c>
      <c r="B21" s="33" t="s">
        <v>53</v>
      </c>
      <c r="C21" s="176">
        <v>1200</v>
      </c>
      <c r="D21" s="170">
        <v>0.03</v>
      </c>
      <c r="E21" s="17"/>
      <c r="F21" s="17"/>
    </row>
    <row r="22" spans="1:6" ht="19.5" thickBot="1" thickTop="1">
      <c r="A22" s="205" t="s">
        <v>72</v>
      </c>
      <c r="B22" s="206"/>
      <c r="C22" s="207"/>
      <c r="D22" s="30"/>
      <c r="E22" s="17"/>
      <c r="F22" s="17"/>
    </row>
    <row r="23" spans="1:6" ht="17.25" thickBot="1" thickTop="1">
      <c r="A23" s="36" t="s">
        <v>99</v>
      </c>
      <c r="B23" s="25" t="s">
        <v>74</v>
      </c>
      <c r="C23" s="173">
        <v>80</v>
      </c>
      <c r="D23" s="28">
        <f>'Acquisition Info'!D77</f>
        <v>520000</v>
      </c>
      <c r="E23" s="17"/>
      <c r="F23" s="17"/>
    </row>
    <row r="24" spans="1:6" ht="16.5" thickTop="1">
      <c r="A24" s="37" t="s">
        <v>100</v>
      </c>
      <c r="B24" s="26" t="s">
        <v>146</v>
      </c>
      <c r="C24" s="170">
        <v>0.0825</v>
      </c>
      <c r="D24" s="30"/>
      <c r="E24" s="17"/>
      <c r="F24" s="17"/>
    </row>
    <row r="25" spans="1:6" ht="15.75">
      <c r="A25" s="37" t="s">
        <v>101</v>
      </c>
      <c r="B25" s="26" t="s">
        <v>13</v>
      </c>
      <c r="C25" s="171">
        <v>25</v>
      </c>
      <c r="D25" s="30"/>
      <c r="E25" s="17"/>
      <c r="F25" s="17"/>
    </row>
    <row r="26" spans="1:6" ht="15.75">
      <c r="A26" s="37" t="s">
        <v>102</v>
      </c>
      <c r="B26" s="26" t="s">
        <v>14</v>
      </c>
      <c r="C26" s="171">
        <v>25</v>
      </c>
      <c r="D26" s="29"/>
      <c r="E26" s="17"/>
      <c r="F26" s="17"/>
    </row>
    <row r="27" spans="1:6" ht="15.75">
      <c r="A27" s="37" t="s">
        <v>103</v>
      </c>
      <c r="B27" s="26" t="s">
        <v>15</v>
      </c>
      <c r="C27" s="171">
        <v>12</v>
      </c>
      <c r="D27" s="29"/>
      <c r="E27" s="17"/>
      <c r="F27" s="17"/>
    </row>
    <row r="28" spans="1:6" ht="16.5" thickBot="1">
      <c r="A28" s="38" t="s">
        <v>104</v>
      </c>
      <c r="B28" s="27" t="s">
        <v>16</v>
      </c>
      <c r="C28" s="177">
        <v>1</v>
      </c>
      <c r="D28" s="29"/>
      <c r="E28" s="17"/>
      <c r="F28" s="17"/>
    </row>
    <row r="29" spans="1:6" ht="19.5" thickBot="1" thickTop="1">
      <c r="A29" s="205" t="s">
        <v>48</v>
      </c>
      <c r="B29" s="206"/>
      <c r="C29" s="207"/>
      <c r="D29" s="29"/>
      <c r="E29" s="17"/>
      <c r="F29" s="17"/>
    </row>
    <row r="30" spans="1:4" ht="16.5" thickBot="1" thickTop="1">
      <c r="A30" s="36" t="s">
        <v>105</v>
      </c>
      <c r="B30" s="25" t="s">
        <v>45</v>
      </c>
      <c r="C30" s="178">
        <v>0</v>
      </c>
      <c r="D30" s="30"/>
    </row>
    <row r="31" spans="1:4" ht="16.5" thickBot="1" thickTop="1">
      <c r="A31" s="37" t="s">
        <v>106</v>
      </c>
      <c r="B31" s="31" t="s">
        <v>143</v>
      </c>
      <c r="C31" s="179">
        <v>0</v>
      </c>
      <c r="D31" s="28">
        <f>'Acquisition Info'!D89</f>
        <v>0</v>
      </c>
    </row>
    <row r="32" spans="1:4" ht="15.75" thickTop="1">
      <c r="A32" s="37" t="s">
        <v>107</v>
      </c>
      <c r="B32" s="31" t="s">
        <v>12</v>
      </c>
      <c r="C32" s="180">
        <v>0</v>
      </c>
      <c r="D32" s="30"/>
    </row>
    <row r="33" spans="1:5" ht="15">
      <c r="A33" s="37" t="s">
        <v>108</v>
      </c>
      <c r="B33" s="31" t="s">
        <v>13</v>
      </c>
      <c r="C33" s="181">
        <v>25</v>
      </c>
      <c r="D33" s="30"/>
      <c r="E33" s="21"/>
    </row>
    <row r="34" spans="1:4" ht="15">
      <c r="A34" s="37" t="s">
        <v>109</v>
      </c>
      <c r="B34" s="31" t="s">
        <v>14</v>
      </c>
      <c r="C34" s="181">
        <v>25</v>
      </c>
      <c r="D34" s="30"/>
    </row>
    <row r="35" spans="1:4" ht="15">
      <c r="A35" s="37" t="s">
        <v>110</v>
      </c>
      <c r="B35" s="31" t="s">
        <v>15</v>
      </c>
      <c r="C35" s="181">
        <v>12</v>
      </c>
      <c r="D35" s="30"/>
    </row>
    <row r="36" spans="1:4" ht="15">
      <c r="A36" s="37" t="s">
        <v>111</v>
      </c>
      <c r="B36" s="31" t="s">
        <v>16</v>
      </c>
      <c r="C36" s="182">
        <v>0</v>
      </c>
      <c r="D36" s="30"/>
    </row>
    <row r="37" spans="1:3" ht="19.5" customHeight="1">
      <c r="A37" s="202" t="s">
        <v>160</v>
      </c>
      <c r="B37" s="203"/>
      <c r="C37" s="204"/>
    </row>
    <row r="38" spans="1:3" ht="19.5" customHeight="1">
      <c r="A38" s="192">
        <v>31</v>
      </c>
      <c r="B38" s="193" t="s">
        <v>161</v>
      </c>
      <c r="C38" s="194">
        <v>0.125</v>
      </c>
    </row>
    <row r="62" spans="3:4" ht="15.75">
      <c r="C62" s="20"/>
      <c r="D62" s="19"/>
    </row>
    <row r="63" spans="3:4" ht="15.75">
      <c r="C63" s="20"/>
      <c r="D63" s="19"/>
    </row>
    <row r="64" spans="3:4" ht="15.75">
      <c r="C64" s="20"/>
      <c r="D64" s="19"/>
    </row>
    <row r="65" spans="3:4" ht="15.75">
      <c r="C65" s="20"/>
      <c r="D65" s="19"/>
    </row>
    <row r="66" spans="3:4" ht="15.75">
      <c r="C66" s="20"/>
      <c r="D66" s="19"/>
    </row>
    <row r="67" spans="3:4" ht="15.75">
      <c r="C67" s="20"/>
      <c r="D67" s="19"/>
    </row>
    <row r="68" spans="3:4" ht="15.75">
      <c r="C68" s="20"/>
      <c r="D68" s="19"/>
    </row>
    <row r="69" spans="3:4" ht="15.75">
      <c r="C69" s="20"/>
      <c r="D69" s="19"/>
    </row>
    <row r="70" spans="3:4" ht="15.75">
      <c r="C70" s="20"/>
      <c r="D70" s="19"/>
    </row>
    <row r="71" spans="3:4" ht="15.75">
      <c r="C71" s="20"/>
      <c r="D71" s="19"/>
    </row>
    <row r="72" spans="3:4" ht="15.75">
      <c r="C72" s="20"/>
      <c r="D72" s="19"/>
    </row>
  </sheetData>
  <sheetProtection selectLockedCells="1"/>
  <mergeCells count="5">
    <mergeCell ref="A37:C37"/>
    <mergeCell ref="A29:C29"/>
    <mergeCell ref="A3:C3"/>
    <mergeCell ref="A10:C10"/>
    <mergeCell ref="A22:C22"/>
  </mergeCells>
  <printOptions/>
  <pageMargins left="0.75" right="0.75" top="1" bottom="1" header="0.5" footer="0.5"/>
  <pageSetup orientation="portrait" paperSize="5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37"/>
  </sheetPr>
  <dimension ref="A1:L131"/>
  <sheetViews>
    <sheetView showGridLines="0" showRowColHeaders="0" zoomScale="75" zoomScaleNormal="75" workbookViewId="0" topLeftCell="A1">
      <selection activeCell="D77" sqref="D77"/>
    </sheetView>
  </sheetViews>
  <sheetFormatPr defaultColWidth="9.140625" defaultRowHeight="12.75"/>
  <cols>
    <col min="3" max="3" width="49.421875" style="0" bestFit="1" customWidth="1"/>
    <col min="4" max="4" width="12.140625" style="0" bestFit="1" customWidth="1"/>
    <col min="6" max="6" width="12.28125" style="0" bestFit="1" customWidth="1"/>
    <col min="7" max="7" width="10.7109375" style="0" bestFit="1" customWidth="1"/>
  </cols>
  <sheetData>
    <row r="1" spans="1:12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</row>
    <row r="27" spans="1:12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2.75">
      <c r="A30" s="65"/>
      <c r="B30" s="65"/>
      <c r="C30" s="65"/>
      <c r="D30" s="65"/>
      <c r="E30" s="65"/>
      <c r="F30" s="65"/>
      <c r="G30" s="65"/>
      <c r="H30" s="65"/>
      <c r="I30" s="66"/>
      <c r="J30" s="65"/>
      <c r="K30" s="65"/>
      <c r="L30" s="65"/>
    </row>
    <row r="31" spans="1:12" ht="12.75">
      <c r="A31" s="65"/>
      <c r="B31" s="65"/>
      <c r="C31" s="65"/>
      <c r="D31" s="65"/>
      <c r="E31" s="65"/>
      <c r="F31" s="65"/>
      <c r="G31" s="65"/>
      <c r="H31" s="65"/>
      <c r="I31" s="66"/>
      <c r="J31" s="65"/>
      <c r="K31" s="65"/>
      <c r="L31" s="65"/>
    </row>
    <row r="32" spans="1:12" ht="12.75">
      <c r="A32" s="65"/>
      <c r="B32" s="65"/>
      <c r="C32" s="65"/>
      <c r="D32" s="65"/>
      <c r="E32" s="65"/>
      <c r="F32" s="65"/>
      <c r="G32" s="65"/>
      <c r="H32" s="65"/>
      <c r="I32" s="66"/>
      <c r="J32" s="65"/>
      <c r="K32" s="65"/>
      <c r="L32" s="6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6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6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6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6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  <row r="62" ht="12.75">
      <c r="C62" t="s">
        <v>121</v>
      </c>
    </row>
    <row r="63" spans="3:4" ht="12.75">
      <c r="C63" t="s">
        <v>122</v>
      </c>
      <c r="D63" s="51">
        <f>'Cash Flow IRR Module Inputs'!D11</f>
        <v>650000</v>
      </c>
    </row>
    <row r="64" spans="3:4" ht="12.75">
      <c r="C64" t="s">
        <v>123</v>
      </c>
      <c r="D64" s="51">
        <f>'Cash Flow IRR Module Inputs'!C12</f>
        <v>0</v>
      </c>
    </row>
    <row r="65" spans="3:4" ht="12.75">
      <c r="C65" t="s">
        <v>44</v>
      </c>
      <c r="D65" s="52">
        <f>IF(D63=0,0,'Cash Flow Proforma'!D12/'Acquisition Info'!D63)</f>
        <v>0.08544153846153846</v>
      </c>
    </row>
    <row r="66" spans="3:4" ht="12.75">
      <c r="C66" t="s">
        <v>17</v>
      </c>
      <c r="D66" s="3">
        <f>D63+D64+D84-D77</f>
        <v>135200</v>
      </c>
    </row>
    <row r="67" spans="3:4" ht="12.75">
      <c r="C67" t="s">
        <v>54</v>
      </c>
      <c r="D67" s="3">
        <f>('Cash Flow IRR Module Inputs'!D11+'Cash Flow IRR Module Inputs'!C12)*'Cash Flow IRR Module Inputs'!C13</f>
        <v>520000</v>
      </c>
    </row>
    <row r="68" spans="3:4" ht="12.75">
      <c r="C68" t="s">
        <v>18</v>
      </c>
      <c r="D68" s="53">
        <f>'Cash Flow IRR Module Inputs'!C14</f>
        <v>27.5</v>
      </c>
    </row>
    <row r="69" spans="3:4" ht="12.75">
      <c r="C69" t="s">
        <v>124</v>
      </c>
      <c r="D69" s="51">
        <f>'Cash Flow Proforma'!D14</f>
        <v>18122</v>
      </c>
    </row>
    <row r="70" spans="3:4" ht="12.75">
      <c r="C70" t="s">
        <v>125</v>
      </c>
      <c r="D70" s="51">
        <f>'Cash Flow Proforma'!E14</f>
        <v>18907</v>
      </c>
    </row>
    <row r="71" spans="3:4" ht="12.75">
      <c r="C71" t="s">
        <v>126</v>
      </c>
      <c r="D71" s="52">
        <f>IF('Cash Flow IRR Module Inputs'!C8=0,0,'Cash Flow Proforma'!N12/'Acquisition Info'!D72)</f>
        <v>0.1</v>
      </c>
    </row>
    <row r="72" spans="3:4" ht="12.75">
      <c r="C72" t="s">
        <v>127</v>
      </c>
      <c r="D72" s="51">
        <f>'Sale Proceeds'!D75</f>
        <v>760565.7218372135</v>
      </c>
    </row>
    <row r="73" spans="3:8" ht="12.75">
      <c r="C73" t="s">
        <v>128</v>
      </c>
      <c r="D73" s="51">
        <f>'Sale Proceeds'!D76</f>
        <v>53239.60052860495</v>
      </c>
      <c r="G73" s="51">
        <v>1000</v>
      </c>
      <c r="H73" s="63">
        <f>IF(D77=0,0,PMT(D78/D79,D82*D79,-G73,0,0))</f>
        <v>7.884501346861897</v>
      </c>
    </row>
    <row r="74" spans="7:8" ht="12.75">
      <c r="G74" s="51">
        <f>-(G73*(1-('Cash Flow IRR Module Inputs'!C28/100)))</f>
        <v>-990</v>
      </c>
      <c r="H74" s="51"/>
    </row>
    <row r="75" spans="6:8" ht="12.75">
      <c r="F75" s="140">
        <v>1</v>
      </c>
      <c r="G75" s="63">
        <f>IF($D$77=0,0,FV($D$78/$D$79,F75*$D$79,$H$73,-$G$73,0))</f>
        <v>987.4172611851459</v>
      </c>
      <c r="H75" s="52">
        <f>IF($D$77=0,0,(RATE(F75*$D$79,$H$73,$G$74,G75,0))*$D$79)</f>
        <v>0.0930703089382142</v>
      </c>
    </row>
    <row r="76" spans="3:8" ht="12.75">
      <c r="C76" t="s">
        <v>129</v>
      </c>
      <c r="F76" s="140">
        <v>2</v>
      </c>
      <c r="G76" s="63">
        <f aca="true" t="shared" si="0" ref="G76:G84">IF($D$77=0,0,FV($D$78/$D$79,F76*$D$79,$H$73,-$G$73,0))</f>
        <v>973.756280571553</v>
      </c>
      <c r="H76" s="52">
        <f>IF($D$77=0,0,(RATE(F76*$D$79,$H$73,$G$74,G76,0))*$D$79)</f>
        <v>0.08803689689918866</v>
      </c>
    </row>
    <row r="77" spans="3:8" ht="12.75">
      <c r="C77" t="s">
        <v>130</v>
      </c>
      <c r="D77" s="55">
        <f>IF('Cash Flow IRR Module Inputs'!C23=0,0,IF('Cash Flow IRR Module Inputs'!C23&gt;100,'Cash Flow IRR Module Inputs'!C23,IF('Cash Flow IRR Module Inputs'!C23&lt;10,-PV('Cash Flow IRR Module Inputs'!C24/'Cash Flow IRR Module Inputs'!C27,'Cash Flow IRR Module Inputs'!C25*'Cash Flow IRR Module Inputs'!C27,('Cash Flow Proforma'!D12/'Cash Flow IRR Module Inputs'!C23)/'Cash Flow IRR Module Inputs'!C27,0,0),'Cash Flow IRR Module Inputs'!C23*'Cash Flow IRR Module Inputs'!D11/100)))</f>
        <v>520000</v>
      </c>
      <c r="F77" s="140">
        <v>3</v>
      </c>
      <c r="G77" s="63">
        <f t="shared" si="0"/>
        <v>958.9246613135384</v>
      </c>
      <c r="H77" s="52">
        <f aca="true" t="shared" si="1" ref="H77:H84">IF($D$77=0,0,(RATE(F77*$D$79,$H$73,$G$74,G77,0))*$D$79)</f>
        <v>0.08636625432374988</v>
      </c>
    </row>
    <row r="78" spans="3:8" ht="12.75">
      <c r="C78" t="s">
        <v>12</v>
      </c>
      <c r="D78" s="56">
        <f>'Cash Flow IRR Module Inputs'!C24</f>
        <v>0.0825</v>
      </c>
      <c r="F78" s="140">
        <v>4</v>
      </c>
      <c r="G78" s="63">
        <f t="shared" si="0"/>
        <v>942.8220888821105</v>
      </c>
      <c r="H78" s="52">
        <f t="shared" si="1"/>
        <v>0.08553619548935226</v>
      </c>
    </row>
    <row r="79" spans="3:8" ht="12.75">
      <c r="C79" t="s">
        <v>15</v>
      </c>
      <c r="D79" s="57">
        <f>'Cash Flow IRR Module Inputs'!C27</f>
        <v>12</v>
      </c>
      <c r="F79" s="140">
        <v>5</v>
      </c>
      <c r="G79" s="63">
        <f t="shared" si="0"/>
        <v>925.3396525817539</v>
      </c>
      <c r="H79" s="52">
        <f t="shared" si="1"/>
        <v>0.08504245516165868</v>
      </c>
    </row>
    <row r="80" spans="3:8" ht="12.75">
      <c r="C80" t="s">
        <v>20</v>
      </c>
      <c r="D80" s="58">
        <f>IF('Cash Flow IRR Module Inputs'!C25=0,0,ROUND(PMT('Cash Flow IRR Module Inputs'!C24/'Cash Flow IRR Module Inputs'!C27,'Cash Flow IRR Module Inputs'!C25*'Cash Flow IRR Module Inputs'!C27,-'Acquisition Info'!D77,0,0),2))</f>
        <v>4099.94</v>
      </c>
      <c r="F80" s="140">
        <v>6</v>
      </c>
      <c r="G80" s="63">
        <f t="shared" si="0"/>
        <v>906.3591089265361</v>
      </c>
      <c r="H80" s="52">
        <f t="shared" si="1"/>
        <v>0.08471697134964813</v>
      </c>
    </row>
    <row r="81" spans="3:8" ht="12.75">
      <c r="C81" t="s">
        <v>21</v>
      </c>
      <c r="D81" s="59">
        <f>D80*'Cash Flow IRR Module Inputs'!C27</f>
        <v>49199.28</v>
      </c>
      <c r="F81" s="140">
        <v>7</v>
      </c>
      <c r="G81" s="63">
        <f t="shared" si="0"/>
        <v>885.7520818933372</v>
      </c>
      <c r="H81" s="52">
        <f t="shared" si="1"/>
        <v>0.0844877259301239</v>
      </c>
    </row>
    <row r="82" spans="3:8" ht="12.75">
      <c r="C82" t="s">
        <v>13</v>
      </c>
      <c r="D82" s="57">
        <f>'Cash Flow IRR Module Inputs'!C25</f>
        <v>25</v>
      </c>
      <c r="F82" s="140">
        <v>8</v>
      </c>
      <c r="G82" s="63">
        <f t="shared" si="0"/>
        <v>863.3791946430679</v>
      </c>
      <c r="H82" s="52">
        <f t="shared" si="1"/>
        <v>0.08431871431621017</v>
      </c>
    </row>
    <row r="83" spans="3:8" ht="12.75">
      <c r="C83" t="s">
        <v>14</v>
      </c>
      <c r="D83" s="57">
        <f>'Cash Flow IRR Module Inputs'!C26</f>
        <v>25</v>
      </c>
      <c r="F83" s="140">
        <v>9</v>
      </c>
      <c r="G83" s="63">
        <f t="shared" si="0"/>
        <v>839.0891268372245</v>
      </c>
      <c r="H83" s="52">
        <f t="shared" si="1"/>
        <v>0.08418993710458376</v>
      </c>
    </row>
    <row r="84" spans="3:8" ht="12.75">
      <c r="C84" t="s">
        <v>57</v>
      </c>
      <c r="D84" s="55">
        <f>IF('Cash Flow IRR Module Inputs'!C28&lt;20,'Cash Flow IRR Module Inputs'!C28*'Acquisition Info'!D77/100,'Cash Flow IRR Module Inputs'!C28)</f>
        <v>5200</v>
      </c>
      <c r="F84" s="140">
        <v>10</v>
      </c>
      <c r="G84" s="63">
        <f t="shared" si="0"/>
        <v>812.7175911738791</v>
      </c>
      <c r="H84" s="52">
        <f t="shared" si="1"/>
        <v>0.08408939731668107</v>
      </c>
    </row>
    <row r="85" spans="3:8" ht="12.75">
      <c r="C85" t="s">
        <v>43</v>
      </c>
      <c r="D85" s="60">
        <f>IF(D88=8,H82,IF(D88=7,H81,IF(D88=6,H80,IF(D88=5,H79,IF(D88=4,H78,IF(D88=3,H77,IF(D88=0,H84)))))))</f>
        <v>0.08408939731668107</v>
      </c>
      <c r="G85" s="3">
        <v>1000</v>
      </c>
      <c r="H85" s="63">
        <f>IF(D89=0,0,PMT(D90/D91,D94*D91,-G85,0,0))</f>
        <v>0</v>
      </c>
    </row>
    <row r="86" ht="12.75">
      <c r="G86" s="64">
        <f>-(G85*(1-('Cash Flow IRR Module Inputs'!C36/100)))</f>
        <v>-1000</v>
      </c>
    </row>
    <row r="87" spans="3:7" ht="15.75">
      <c r="C87" t="s">
        <v>131</v>
      </c>
      <c r="F87" s="2"/>
      <c r="G87" t="s">
        <v>133</v>
      </c>
    </row>
    <row r="88" spans="3:8" ht="12.75">
      <c r="C88" t="s">
        <v>132</v>
      </c>
      <c r="D88" s="54">
        <f>'Cash Flow IRR Module Inputs'!C30</f>
        <v>0</v>
      </c>
      <c r="F88" s="62">
        <v>1</v>
      </c>
      <c r="G88" s="63">
        <f>IF($D$89=0,0,FV($D$90/$D$91,F88*$D$91,$H$85,-$G$85,0))</f>
        <v>0</v>
      </c>
      <c r="H88" s="52">
        <f>IF($D$89=0,0,(RATE(F88*$D$91,$H$85,$G$86,G88,0))*$D$91)</f>
        <v>0</v>
      </c>
    </row>
    <row r="89" spans="3:8" ht="12.75">
      <c r="C89" t="s">
        <v>130</v>
      </c>
      <c r="D89" s="3">
        <f>IF(D88=8,'Cash Flow Proforma'!K87,IF(D88=7,'Cash Flow Proforma'!J87,IF(D88=6,'Cash Flow Proforma'!I87,IF(D88=5,'Cash Flow Proforma'!H87,IF(D88=4,'Cash Flow Proforma'!G87,IF(D88=3,'Cash Flow Proforma'!F87,IF(D88=0,0)))))))</f>
        <v>0</v>
      </c>
      <c r="F89" s="62">
        <v>2</v>
      </c>
      <c r="G89" s="63">
        <f aca="true" t="shared" si="2" ref="G89:G97">IF($D$89=0,0,FV($D$90/$D$91,F89*$D$91,$H$85,-$G$85,0))</f>
        <v>0</v>
      </c>
      <c r="H89" s="52">
        <f aca="true" t="shared" si="3" ref="H89:H97">IF($D$89=0,0,(RATE(F89*$D$91,$H$85,$G$86,G89,0))*$D$91)</f>
        <v>0</v>
      </c>
    </row>
    <row r="90" spans="3:8" ht="12.75">
      <c r="C90" t="s">
        <v>12</v>
      </c>
      <c r="D90" s="52">
        <f>'Cash Flow IRR Module Inputs'!C32</f>
        <v>0</v>
      </c>
      <c r="F90" s="62">
        <v>3</v>
      </c>
      <c r="G90" s="63">
        <f t="shared" si="2"/>
        <v>0</v>
      </c>
      <c r="H90" s="52">
        <f t="shared" si="3"/>
        <v>0</v>
      </c>
    </row>
    <row r="91" spans="3:8" ht="12.75">
      <c r="C91" t="s">
        <v>15</v>
      </c>
      <c r="D91" s="54">
        <f>'Cash Flow IRR Module Inputs'!C35</f>
        <v>12</v>
      </c>
      <c r="F91" s="62">
        <v>4</v>
      </c>
      <c r="G91" s="63">
        <f t="shared" si="2"/>
        <v>0</v>
      </c>
      <c r="H91" s="52">
        <f t="shared" si="3"/>
        <v>0</v>
      </c>
    </row>
    <row r="92" spans="3:8" ht="12.75">
      <c r="C92" t="s">
        <v>20</v>
      </c>
      <c r="D92" s="61">
        <f>IF(D89=0,0,ROUND(PMT(D90/D91,D94*D91,-D89,0,0),2))</f>
        <v>0</v>
      </c>
      <c r="F92" s="62">
        <v>5</v>
      </c>
      <c r="G92" s="63">
        <f t="shared" si="2"/>
        <v>0</v>
      </c>
      <c r="H92" s="52">
        <f t="shared" si="3"/>
        <v>0</v>
      </c>
    </row>
    <row r="93" spans="3:8" ht="12.75">
      <c r="C93" t="s">
        <v>21</v>
      </c>
      <c r="D93" s="3">
        <f>D92*D91</f>
        <v>0</v>
      </c>
      <c r="F93" s="62">
        <v>6</v>
      </c>
      <c r="G93" s="63">
        <f t="shared" si="2"/>
        <v>0</v>
      </c>
      <c r="H93" s="52">
        <f t="shared" si="3"/>
        <v>0</v>
      </c>
    </row>
    <row r="94" spans="3:8" ht="12.75">
      <c r="C94" t="s">
        <v>13</v>
      </c>
      <c r="D94" s="54">
        <f>'Cash Flow IRR Module Inputs'!C33</f>
        <v>25</v>
      </c>
      <c r="F94" s="62">
        <v>7</v>
      </c>
      <c r="G94" s="63">
        <f t="shared" si="2"/>
        <v>0</v>
      </c>
      <c r="H94" s="52">
        <f t="shared" si="3"/>
        <v>0</v>
      </c>
    </row>
    <row r="95" spans="3:8" ht="12.75">
      <c r="C95" t="s">
        <v>14</v>
      </c>
      <c r="D95" s="54">
        <f>'Cash Flow IRR Module Inputs'!C34</f>
        <v>25</v>
      </c>
      <c r="F95" s="62">
        <v>8</v>
      </c>
      <c r="G95" s="63">
        <f t="shared" si="2"/>
        <v>0</v>
      </c>
      <c r="H95" s="52">
        <f t="shared" si="3"/>
        <v>0</v>
      </c>
    </row>
    <row r="96" spans="3:8" ht="12.75">
      <c r="C96" t="s">
        <v>57</v>
      </c>
      <c r="D96" s="3">
        <f>IF('Cash Flow IRR Module Inputs'!C36&lt;20,D89*('Cash Flow IRR Module Inputs'!C36/100),'Cash Flow IRR Module Inputs'!C36)</f>
        <v>0</v>
      </c>
      <c r="F96" s="62">
        <v>9</v>
      </c>
      <c r="G96" s="63">
        <f t="shared" si="2"/>
        <v>0</v>
      </c>
      <c r="H96" s="52">
        <f t="shared" si="3"/>
        <v>0</v>
      </c>
    </row>
    <row r="97" spans="3:8" ht="12.75">
      <c r="C97" t="s">
        <v>43</v>
      </c>
      <c r="D97" s="52">
        <f>IF(D88=8,H89,IF(D88=7,H90,IF(D88=6,H91,IF(D88=5,H92,IF(D88=4,H93,IF(D88=3,H94,IF(D88=0,0)))))))</f>
        <v>0</v>
      </c>
      <c r="F97" s="62">
        <v>10</v>
      </c>
      <c r="G97" s="63">
        <f t="shared" si="2"/>
        <v>0</v>
      </c>
      <c r="H97" s="52">
        <f t="shared" si="3"/>
        <v>0</v>
      </c>
    </row>
    <row r="112" spans="3:4" ht="15.75">
      <c r="C112" s="5" t="s">
        <v>17</v>
      </c>
      <c r="D112" s="6">
        <f>D66</f>
        <v>135200</v>
      </c>
    </row>
    <row r="113" spans="3:4" ht="15.75">
      <c r="C113" s="5" t="s">
        <v>54</v>
      </c>
      <c r="D113" s="6">
        <f>'Cash Flow IRR Module Inputs'!D11*'Cash Flow IRR Module Inputs'!C13+'Cash Flow IRR Module Inputs'!C12</f>
        <v>520000</v>
      </c>
    </row>
    <row r="114" spans="3:4" ht="15.75">
      <c r="C114" s="5" t="s">
        <v>55</v>
      </c>
      <c r="D114" s="4">
        <f>ROUND(D115/12*11.5,5)</f>
        <v>0.03485</v>
      </c>
    </row>
    <row r="115" spans="3:4" ht="15.75">
      <c r="C115" s="5" t="s">
        <v>56</v>
      </c>
      <c r="D115" s="4">
        <f>ROUND(1/27.5,5)</f>
        <v>0.03636</v>
      </c>
    </row>
    <row r="116" spans="3:4" ht="15.75">
      <c r="C116" s="5"/>
      <c r="D116" s="137">
        <f>ROUND(D117/12*11.5,5)</f>
        <v>0.02457</v>
      </c>
    </row>
    <row r="117" spans="3:4" ht="15.75">
      <c r="C117" s="5"/>
      <c r="D117" s="137">
        <f>ROUND(1/39,5)</f>
        <v>0.02564</v>
      </c>
    </row>
    <row r="122" spans="3:4" ht="15.75">
      <c r="C122" s="134"/>
      <c r="D122" s="135"/>
    </row>
    <row r="123" spans="3:4" ht="15.75">
      <c r="C123" s="134"/>
      <c r="D123" s="135"/>
    </row>
    <row r="124" spans="3:4" ht="15.75">
      <c r="C124" s="134"/>
      <c r="D124" s="135"/>
    </row>
    <row r="125" spans="3:4" ht="15.75">
      <c r="C125" s="134"/>
      <c r="D125" s="135"/>
    </row>
    <row r="126" spans="3:4" ht="15.75">
      <c r="C126" s="134"/>
      <c r="D126" s="135"/>
    </row>
    <row r="127" spans="3:4" ht="15.75">
      <c r="C127" s="134"/>
      <c r="D127" s="136"/>
    </row>
    <row r="130" ht="15.75">
      <c r="C130" s="14" t="s">
        <v>66</v>
      </c>
    </row>
    <row r="131" ht="15.75">
      <c r="C131" s="14" t="s">
        <v>67</v>
      </c>
    </row>
  </sheetData>
  <sheetProtection selectLockedCells="1" selectUnlockedCell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N150"/>
  <sheetViews>
    <sheetView showGridLines="0" showRowColHeaders="0" zoomScale="75" zoomScaleNormal="75" workbookViewId="0" topLeftCell="A4">
      <selection activeCell="D26" sqref="D26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0.5625" style="0" customWidth="1"/>
    <col min="4" max="10" width="12.28125" style="0" customWidth="1"/>
    <col min="11" max="13" width="15.28125" style="0" customWidth="1"/>
    <col min="14" max="14" width="12.7109375" style="0" customWidth="1"/>
    <col min="15" max="16384" width="10.7109375" style="0" customWidth="1"/>
  </cols>
  <sheetData>
    <row r="1" spans="1:14" ht="19.5" customHeight="1" thickBo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14" ht="28.5" customHeight="1" thickBot="1" thickTop="1">
      <c r="A2" s="210" t="s">
        <v>81</v>
      </c>
      <c r="B2" s="211"/>
      <c r="C2" s="126"/>
      <c r="D2" s="127">
        <v>1</v>
      </c>
      <c r="E2" s="128">
        <v>2</v>
      </c>
      <c r="F2" s="128">
        <v>3</v>
      </c>
      <c r="G2" s="128">
        <v>4</v>
      </c>
      <c r="H2" s="128">
        <v>5</v>
      </c>
      <c r="I2" s="128">
        <v>6</v>
      </c>
      <c r="J2" s="128">
        <v>7</v>
      </c>
      <c r="K2" s="128">
        <v>8</v>
      </c>
      <c r="L2" s="128">
        <v>9</v>
      </c>
      <c r="M2" s="128">
        <v>10</v>
      </c>
      <c r="N2" s="129">
        <v>11</v>
      </c>
    </row>
    <row r="3" spans="1:14" ht="19.5" customHeight="1" thickBot="1" thickTop="1">
      <c r="A3" s="81" t="s">
        <v>82</v>
      </c>
      <c r="B3" s="82" t="s">
        <v>69</v>
      </c>
      <c r="C3" s="83"/>
      <c r="D3" s="84">
        <f>'Cash Flow IRR Module Inputs'!C15</f>
        <v>90000</v>
      </c>
      <c r="E3" s="85">
        <f>D3*(1+'Cash Flow IRR Module Inputs'!$D$15)</f>
        <v>92700</v>
      </c>
      <c r="F3" s="85">
        <f>E3*(1+'Cash Flow IRR Module Inputs'!$D$15)</f>
        <v>95481</v>
      </c>
      <c r="G3" s="85">
        <f>F3*(1+'Cash Flow IRR Module Inputs'!$D$15)</f>
        <v>98345.43000000001</v>
      </c>
      <c r="H3" s="85">
        <f>G3*(1+'Cash Flow IRR Module Inputs'!$D$15)</f>
        <v>101295.79290000001</v>
      </c>
      <c r="I3" s="85">
        <f>H3*(1+'Cash Flow IRR Module Inputs'!$D$15)</f>
        <v>104334.66668700002</v>
      </c>
      <c r="J3" s="85">
        <f>I3*(1+'Cash Flow IRR Module Inputs'!$D$15)</f>
        <v>107464.70668761003</v>
      </c>
      <c r="K3" s="85">
        <f>J3*(1+'Cash Flow IRR Module Inputs'!$D$15)</f>
        <v>110688.64788823834</v>
      </c>
      <c r="L3" s="85">
        <f>K3*(1+'Cash Flow IRR Module Inputs'!$D$15)</f>
        <v>114009.30732488549</v>
      </c>
      <c r="M3" s="85">
        <f>L3*(1+'Cash Flow IRR Module Inputs'!$D$15)</f>
        <v>117429.58654463205</v>
      </c>
      <c r="N3" s="108">
        <f>M3*(1+'Cash Flow IRR Module Inputs'!$D$15)</f>
        <v>120952.47414097101</v>
      </c>
    </row>
    <row r="4" spans="1:14" ht="15.75" customHeight="1" thickBot="1" thickTop="1">
      <c r="A4" s="87" t="s">
        <v>83</v>
      </c>
      <c r="B4" s="88" t="s">
        <v>0</v>
      </c>
      <c r="C4" s="89"/>
      <c r="D4" s="90">
        <f>D3*'Cash Flow IRR Module Inputs'!$C$16</f>
        <v>4500</v>
      </c>
      <c r="E4" s="91">
        <f>E3*'Cash Flow IRR Module Inputs'!$C$16</f>
        <v>4635</v>
      </c>
      <c r="F4" s="91">
        <f>F3*'Cash Flow IRR Module Inputs'!$C$16</f>
        <v>4774.05</v>
      </c>
      <c r="G4" s="91">
        <f>G3*'Cash Flow IRR Module Inputs'!$C$16</f>
        <v>4917.271500000001</v>
      </c>
      <c r="H4" s="91">
        <f>H3*'Cash Flow IRR Module Inputs'!$C$16</f>
        <v>5064.789645000001</v>
      </c>
      <c r="I4" s="91">
        <f>I3*'Cash Flow IRR Module Inputs'!$C$16</f>
        <v>5216.733334350001</v>
      </c>
      <c r="J4" s="91">
        <f>J3*'Cash Flow IRR Module Inputs'!$C$16</f>
        <v>5373.235334380502</v>
      </c>
      <c r="K4" s="91">
        <f>K3*'Cash Flow IRR Module Inputs'!$C$16</f>
        <v>5534.432394411917</v>
      </c>
      <c r="L4" s="91">
        <f>L3*'Cash Flow IRR Module Inputs'!$C$16</f>
        <v>5700.465366244275</v>
      </c>
      <c r="M4" s="91">
        <f>M3*'Cash Flow IRR Module Inputs'!$C$16</f>
        <v>5871.479327231603</v>
      </c>
      <c r="N4" s="165">
        <f>N3*'Cash Flow IRR Module Inputs'!$C$16</f>
        <v>6047.623707048551</v>
      </c>
    </row>
    <row r="5" spans="1:14" ht="19.5" customHeight="1" thickBot="1" thickTop="1">
      <c r="A5" s="81" t="s">
        <v>84</v>
      </c>
      <c r="B5" s="86" t="s">
        <v>70</v>
      </c>
      <c r="C5" s="83"/>
      <c r="D5" s="84">
        <f>D3-D4</f>
        <v>85500</v>
      </c>
      <c r="E5" s="85">
        <f aca="true" t="shared" si="0" ref="E5:N5">E3-E4</f>
        <v>88065</v>
      </c>
      <c r="F5" s="85">
        <f t="shared" si="0"/>
        <v>90706.95</v>
      </c>
      <c r="G5" s="85">
        <f t="shared" si="0"/>
        <v>93428.1585</v>
      </c>
      <c r="H5" s="85">
        <f t="shared" si="0"/>
        <v>96231.00325500002</v>
      </c>
      <c r="I5" s="85">
        <f t="shared" si="0"/>
        <v>99117.93335265001</v>
      </c>
      <c r="J5" s="85">
        <f t="shared" si="0"/>
        <v>102091.47135322953</v>
      </c>
      <c r="K5" s="85">
        <f t="shared" si="0"/>
        <v>105154.21549382643</v>
      </c>
      <c r="L5" s="85">
        <f t="shared" si="0"/>
        <v>108308.84195864122</v>
      </c>
      <c r="M5" s="85">
        <f t="shared" si="0"/>
        <v>111558.10721740045</v>
      </c>
      <c r="N5" s="108">
        <f t="shared" si="0"/>
        <v>114904.85043392246</v>
      </c>
    </row>
    <row r="6" spans="1:14" ht="15.75" customHeight="1" thickTop="1">
      <c r="A6" s="92" t="s">
        <v>85</v>
      </c>
      <c r="B6" s="93" t="s">
        <v>1</v>
      </c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166"/>
    </row>
    <row r="7" spans="1:14" ht="15.75" customHeight="1">
      <c r="A7" s="96" t="s">
        <v>86</v>
      </c>
      <c r="B7" s="97" t="s">
        <v>75</v>
      </c>
      <c r="C7" s="98"/>
      <c r="D7" s="99">
        <f>D5*'Cash Flow IRR Module Inputs'!$C$17</f>
        <v>6840</v>
      </c>
      <c r="E7" s="100">
        <f>E5*'Cash Flow IRR Module Inputs'!$C$17</f>
        <v>7045.2</v>
      </c>
      <c r="F7" s="100">
        <f>F5*'Cash Flow IRR Module Inputs'!$C$17</f>
        <v>7256.556</v>
      </c>
      <c r="G7" s="100">
        <f>G5*'Cash Flow IRR Module Inputs'!$C$17</f>
        <v>7474.2526800000005</v>
      </c>
      <c r="H7" s="100">
        <f>H5*'Cash Flow IRR Module Inputs'!$C$17</f>
        <v>7698.4802604000015</v>
      </c>
      <c r="I7" s="100">
        <f>I5*'Cash Flow IRR Module Inputs'!$C$17</f>
        <v>7929.434668212001</v>
      </c>
      <c r="J7" s="100">
        <f>J5*'Cash Flow IRR Module Inputs'!$C$17</f>
        <v>8167.3177082583625</v>
      </c>
      <c r="K7" s="100">
        <f>K5*'Cash Flow IRR Module Inputs'!$C$17</f>
        <v>8412.337239506114</v>
      </c>
      <c r="L7" s="100">
        <f>L5*'Cash Flow IRR Module Inputs'!$C$17</f>
        <v>8664.707356691299</v>
      </c>
      <c r="M7" s="100">
        <f>M5*'Cash Flow IRR Module Inputs'!$C$17</f>
        <v>8924.648577392036</v>
      </c>
      <c r="N7" s="167">
        <f>N5*'Cash Flow IRR Module Inputs'!$C$17</f>
        <v>9192.388034713797</v>
      </c>
    </row>
    <row r="8" spans="1:14" ht="15.75" customHeight="1">
      <c r="A8" s="96" t="s">
        <v>87</v>
      </c>
      <c r="B8" s="97" t="s">
        <v>76</v>
      </c>
      <c r="C8" s="98"/>
      <c r="D8" s="99">
        <f>'Cash Flow IRR Module Inputs'!C18</f>
        <v>8926</v>
      </c>
      <c r="E8" s="100">
        <f>D8*(1+'Cash Flow IRR Module Inputs'!$D$18)</f>
        <v>9104.52</v>
      </c>
      <c r="F8" s="100">
        <f>E8*(1+'Cash Flow IRR Module Inputs'!$D$18)</f>
        <v>9286.610400000001</v>
      </c>
      <c r="G8" s="100">
        <f>F8*(1+'Cash Flow IRR Module Inputs'!$D$18)</f>
        <v>9472.342608</v>
      </c>
      <c r="H8" s="100">
        <f>G8*(1+'Cash Flow IRR Module Inputs'!$D$18)</f>
        <v>9661.789460160002</v>
      </c>
      <c r="I8" s="100">
        <f>H8*(1+'Cash Flow IRR Module Inputs'!$D$18)</f>
        <v>9855.025249363202</v>
      </c>
      <c r="J8" s="100">
        <f>I8*(1+'Cash Flow IRR Module Inputs'!$D$18)</f>
        <v>10052.125754350465</v>
      </c>
      <c r="K8" s="100">
        <f>J8*(1+'Cash Flow IRR Module Inputs'!$D$18)</f>
        <v>10253.168269437474</v>
      </c>
      <c r="L8" s="100">
        <f>K8*(1+'Cash Flow IRR Module Inputs'!$D$18)</f>
        <v>10458.231634826223</v>
      </c>
      <c r="M8" s="100">
        <f>L8*(1+'Cash Flow IRR Module Inputs'!$D$18)</f>
        <v>10667.396267522747</v>
      </c>
      <c r="N8" s="167">
        <f>M8*(1+'Cash Flow IRR Module Inputs'!$D$18)</f>
        <v>10880.744192873202</v>
      </c>
    </row>
    <row r="9" spans="1:14" ht="15.75" customHeight="1">
      <c r="A9" s="96" t="s">
        <v>88</v>
      </c>
      <c r="B9" s="97" t="s">
        <v>77</v>
      </c>
      <c r="C9" s="98"/>
      <c r="D9" s="99">
        <f>'Cash Flow IRR Module Inputs'!C19</f>
        <v>2437</v>
      </c>
      <c r="E9" s="100">
        <f>D9*(1+'Cash Flow IRR Module Inputs'!$D$19)</f>
        <v>2485.7400000000002</v>
      </c>
      <c r="F9" s="100">
        <f>E9*(1+'Cash Flow IRR Module Inputs'!$D$19)</f>
        <v>2535.4548000000004</v>
      </c>
      <c r="G9" s="100">
        <f>F9*(1+'Cash Flow IRR Module Inputs'!$D$19)</f>
        <v>2586.1638960000005</v>
      </c>
      <c r="H9" s="100">
        <f>G9*(1+'Cash Flow IRR Module Inputs'!$D$19)</f>
        <v>2637.8871739200004</v>
      </c>
      <c r="I9" s="100">
        <f>H9*(1+'Cash Flow IRR Module Inputs'!$D$19)</f>
        <v>2690.6449173984006</v>
      </c>
      <c r="J9" s="100">
        <f>I9*(1+'Cash Flow IRR Module Inputs'!$D$19)</f>
        <v>2744.457815746369</v>
      </c>
      <c r="K9" s="100">
        <f>J9*(1+'Cash Flow IRR Module Inputs'!$D$19)</f>
        <v>2799.346972061296</v>
      </c>
      <c r="L9" s="100">
        <f>K9*(1+'Cash Flow IRR Module Inputs'!$D$19)</f>
        <v>2855.333911502522</v>
      </c>
      <c r="M9" s="100">
        <f>L9*(1+'Cash Flow IRR Module Inputs'!$D$19)</f>
        <v>2912.4405897325723</v>
      </c>
      <c r="N9" s="167">
        <f>M9*(1+'Cash Flow IRR Module Inputs'!$D$19)</f>
        <v>2970.6894015272237</v>
      </c>
    </row>
    <row r="10" spans="1:14" ht="15.75" customHeight="1">
      <c r="A10" s="96" t="s">
        <v>89</v>
      </c>
      <c r="B10" s="97" t="s">
        <v>78</v>
      </c>
      <c r="C10" s="98"/>
      <c r="D10" s="99">
        <f>'Cash Flow IRR Module Inputs'!C20</f>
        <v>10560</v>
      </c>
      <c r="E10" s="100">
        <f>D10*(1+'Cash Flow IRR Module Inputs'!$D$20)</f>
        <v>10876.800000000001</v>
      </c>
      <c r="F10" s="100">
        <f>E10*(1+'Cash Flow IRR Module Inputs'!$D$20)</f>
        <v>11203.104000000001</v>
      </c>
      <c r="G10" s="100">
        <f>F10*(1+'Cash Flow IRR Module Inputs'!$D$20)</f>
        <v>11539.19712</v>
      </c>
      <c r="H10" s="100">
        <f>G10*(1+'Cash Flow IRR Module Inputs'!$D$20)</f>
        <v>11885.3730336</v>
      </c>
      <c r="I10" s="100">
        <f>H10*(1+'Cash Flow IRR Module Inputs'!$D$20)</f>
        <v>12241.934224608001</v>
      </c>
      <c r="J10" s="100">
        <f>I10*(1+'Cash Flow IRR Module Inputs'!$D$20)</f>
        <v>12609.192251346241</v>
      </c>
      <c r="K10" s="100">
        <f>J10*(1+'Cash Flow IRR Module Inputs'!$D$20)</f>
        <v>12987.46801888663</v>
      </c>
      <c r="L10" s="100">
        <f>K10*(1+'Cash Flow IRR Module Inputs'!$D$20)</f>
        <v>13377.092059453229</v>
      </c>
      <c r="M10" s="100">
        <f>L10*(1+'Cash Flow IRR Module Inputs'!$D$20)</f>
        <v>13778.404821236827</v>
      </c>
      <c r="N10" s="167">
        <f>M10*(1+'Cash Flow IRR Module Inputs'!$D$20)</f>
        <v>14191.756965873932</v>
      </c>
    </row>
    <row r="11" spans="1:14" ht="15.75" customHeight="1" thickBot="1">
      <c r="A11" s="101" t="s">
        <v>90</v>
      </c>
      <c r="B11" s="102" t="s">
        <v>79</v>
      </c>
      <c r="C11" s="103"/>
      <c r="D11" s="104">
        <f>'Cash Flow IRR Module Inputs'!C21</f>
        <v>1200</v>
      </c>
      <c r="E11" s="105">
        <f>D11*(1+'Cash Flow IRR Module Inputs'!$D$21)</f>
        <v>1236</v>
      </c>
      <c r="F11" s="105">
        <f>E11*(1+'Cash Flow IRR Module Inputs'!$D$21)</f>
        <v>1273.08</v>
      </c>
      <c r="G11" s="105">
        <f>F11*(1+'Cash Flow IRR Module Inputs'!$D$21)</f>
        <v>1311.2724</v>
      </c>
      <c r="H11" s="105">
        <f>G11*(1+'Cash Flow IRR Module Inputs'!$D$21)</f>
        <v>1350.610572</v>
      </c>
      <c r="I11" s="105">
        <f>H11*(1+'Cash Flow IRR Module Inputs'!$D$21)</f>
        <v>1391.12888916</v>
      </c>
      <c r="J11" s="105">
        <f>I11*(1+'Cash Flow IRR Module Inputs'!$D$21)</f>
        <v>1432.8627558348</v>
      </c>
      <c r="K11" s="105">
        <f>J11*(1+'Cash Flow IRR Module Inputs'!$D$21)</f>
        <v>1475.848638509844</v>
      </c>
      <c r="L11" s="105">
        <f>K11*(1+'Cash Flow IRR Module Inputs'!$D$21)</f>
        <v>1520.1240976651393</v>
      </c>
      <c r="M11" s="105">
        <f>L11*(1+'Cash Flow IRR Module Inputs'!$D$21)</f>
        <v>1565.7278205950936</v>
      </c>
      <c r="N11" s="168">
        <f>M11*(1+'Cash Flow IRR Module Inputs'!$D$21)</f>
        <v>1612.6996552129465</v>
      </c>
    </row>
    <row r="12" spans="1:14" ht="19.5" customHeight="1" thickBot="1" thickTop="1">
      <c r="A12" s="81" t="s">
        <v>91</v>
      </c>
      <c r="B12" s="86" t="s">
        <v>2</v>
      </c>
      <c r="C12" s="83"/>
      <c r="D12" s="84">
        <f>D5-SUM(D7:D11)</f>
        <v>55537</v>
      </c>
      <c r="E12" s="85">
        <f aca="true" t="shared" si="1" ref="E12:N12">E5-SUM(E7:E11)</f>
        <v>57316.74</v>
      </c>
      <c r="F12" s="85">
        <f t="shared" si="1"/>
        <v>59152.144799999995</v>
      </c>
      <c r="G12" s="85">
        <f t="shared" si="1"/>
        <v>61044.929796</v>
      </c>
      <c r="H12" s="85">
        <f t="shared" si="1"/>
        <v>62996.86275492001</v>
      </c>
      <c r="I12" s="85">
        <f t="shared" si="1"/>
        <v>65009.76540390841</v>
      </c>
      <c r="J12" s="85">
        <f t="shared" si="1"/>
        <v>67085.51506769328</v>
      </c>
      <c r="K12" s="85">
        <f t="shared" si="1"/>
        <v>69226.04635542506</v>
      </c>
      <c r="L12" s="85">
        <f t="shared" si="1"/>
        <v>71433.35289850281</v>
      </c>
      <c r="M12" s="85">
        <f t="shared" si="1"/>
        <v>73709.48914092119</v>
      </c>
      <c r="N12" s="108">
        <f t="shared" si="1"/>
        <v>76056.57218372135</v>
      </c>
    </row>
    <row r="13" spans="1:14" ht="15.75" customHeight="1" thickTop="1">
      <c r="A13" s="92" t="s">
        <v>92</v>
      </c>
      <c r="B13" s="93" t="s">
        <v>3</v>
      </c>
      <c r="C13" s="106"/>
      <c r="D13" s="107">
        <f>IF('Cash Flow IRR Module Inputs'!$C$30=8,'Cash Flow Proforma'!D77,IF('Cash Flow IRR Module Inputs'!$C$30=7,'Cash Flow Proforma'!D77,IF('Cash Flow IRR Module Inputs'!$C$30=6,'Cash Flow Proforma'!D77,IF('Cash Flow IRR Module Inputs'!$C$30=5,'Cash Flow Proforma'!D77,IF('Cash Flow IRR Module Inputs'!$C$30=4,'Cash Flow Proforma'!D77,IF('Cash Flow IRR Module Inputs'!$C$30=3,'Cash Flow Proforma'!D77,IF('Cash Flow IRR Module Inputs'!$C$30=0,'Cash Flow Proforma'!D77)))))))</f>
        <v>42656.28</v>
      </c>
      <c r="E13" s="107">
        <f>IF('Cash Flow IRR Module Inputs'!$C$30=8,'Cash Flow Proforma'!E77,IF('Cash Flow IRR Module Inputs'!$C$30=7,'Cash Flow Proforma'!E77,IF('Cash Flow IRR Module Inputs'!$C$30=6,'Cash Flow Proforma'!E77,IF('Cash Flow IRR Module Inputs'!$C$30=5,'Cash Flow Proforma'!E77,IF('Cash Flow IRR Module Inputs'!$C$30=4,'Cash Flow Proforma'!E77,IF('Cash Flow IRR Module Inputs'!$C$30=3,'Cash Flow Proforma'!E77,IF('Cash Flow IRR Module Inputs'!$C$30=0,'Cash Flow Proforma'!E77)))))))</f>
        <v>42095.28</v>
      </c>
      <c r="F13" s="107">
        <f>IF('Cash Flow IRR Module Inputs'!$C$30=8,'Cash Flow Proforma'!F77,IF('Cash Flow IRR Module Inputs'!$C$30=7,'Cash Flow Proforma'!F77,IF('Cash Flow IRR Module Inputs'!$C$30=6,'Cash Flow Proforma'!F77,IF('Cash Flow IRR Module Inputs'!$C$30=5,'Cash Flow Proforma'!F77,IF('Cash Flow IRR Module Inputs'!$C$30=4,'Cash Flow Proforma'!F77,IF('Cash Flow IRR Module Inputs'!$C$30=3,'Cash Flow Proforma'!F77,IF('Cash Flow IRR Module Inputs'!$C$30=0,'Cash Flow Proforma'!F77)))))))</f>
        <v>41487.28</v>
      </c>
      <c r="G13" s="107">
        <f>IF('Cash Flow IRR Module Inputs'!$C$30=8,'Cash Flow Proforma'!G77,IF('Cash Flow IRR Module Inputs'!$C$30=7,'Cash Flow Proforma'!G77,IF('Cash Flow IRR Module Inputs'!$C$30=6,'Cash Flow Proforma'!G77,IF('Cash Flow IRR Module Inputs'!$C$30=5,'Cash Flow Proforma'!G77,IF('Cash Flow IRR Module Inputs'!$C$30=4,'Cash Flow Proforma'!G77,IF('Cash Flow IRR Module Inputs'!$C$30=3,'Cash Flow Proforma'!G104,IF('Cash Flow IRR Module Inputs'!$C$30=0,'Cash Flow Proforma'!G77)))))))</f>
        <v>40826.28</v>
      </c>
      <c r="H13" s="107">
        <f>IF('Cash Flow IRR Module Inputs'!$C$30=8,'Cash Flow Proforma'!H77,IF('Cash Flow IRR Module Inputs'!$C$30=7,'Cash Flow Proforma'!H77,IF('Cash Flow IRR Module Inputs'!$C$30=6,'Cash Flow Proforma'!H77,IF('Cash Flow IRR Module Inputs'!$C$30=5,'Cash Flow Proforma'!H77,IF('Cash Flow IRR Module Inputs'!$C$30=4,'Cash Flow Proforma'!H111,IF('Cash Flow IRR Module Inputs'!$C$30=3,'Cash Flow Proforma'!H104,IF('Cash Flow IRR Module Inputs'!$C$30=0,'Cash Flow Proforma'!H77)))))))</f>
        <v>40108.28</v>
      </c>
      <c r="I13" s="107">
        <f>IF('Cash Flow IRR Module Inputs'!$C$30=8,'Cash Flow Proforma'!I77,IF('Cash Flow IRR Module Inputs'!$C$30=7,'Cash Flow Proforma'!I77,IF('Cash Flow IRR Module Inputs'!$C$30=6,'Cash Flow Proforma'!I77,IF('Cash Flow IRR Module Inputs'!$C$30=5,'Cash Flow Proforma'!I118,IF('Cash Flow IRR Module Inputs'!$C$30=4,'Cash Flow Proforma'!I111,IF('Cash Flow IRR Module Inputs'!$C$30=3,'Cash Flow Proforma'!I104,IF('Cash Flow IRR Module Inputs'!$C$30=0,'Cash Flow Proforma'!I77)))))))</f>
        <v>39329.28</v>
      </c>
      <c r="J13" s="107">
        <f>IF('Cash Flow IRR Module Inputs'!$C$30=8,'Cash Flow Proforma'!J77,IF('Cash Flow IRR Module Inputs'!$C$30=7,'Cash Flow Proforma'!J77,IF('Cash Flow IRR Module Inputs'!$C$30=6,'Cash Flow Proforma'!J125,IF('Cash Flow IRR Module Inputs'!$C$30=5,'Cash Flow Proforma'!J118,IF('Cash Flow IRR Module Inputs'!$C$30=4,'Cash Flow Proforma'!J111,IF('Cash Flow IRR Module Inputs'!$C$30=3,'Cash Flow Proforma'!J104,IF('Cash Flow IRR Module Inputs'!$C$30=0,'Cash Flow Proforma'!J77)))))))</f>
        <v>38483.28</v>
      </c>
      <c r="K13" s="107">
        <f>IF('Cash Flow IRR Module Inputs'!$C$30=8,'Cash Flow Proforma'!K77,IF('Cash Flow IRR Module Inputs'!$C$30=7,'Cash Flow Proforma'!K132,IF('Cash Flow IRR Module Inputs'!$C$30=6,'Cash Flow Proforma'!K125,IF('Cash Flow IRR Module Inputs'!$C$30=5,'Cash Flow Proforma'!K118,IF('Cash Flow IRR Module Inputs'!$C$30=4,'Cash Flow Proforma'!K111,IF('Cash Flow IRR Module Inputs'!$C$30=3,'Cash Flow Proforma'!K104,IF('Cash Flow IRR Module Inputs'!$C$30=0,'Cash Flow Proforma'!K77)))))))</f>
        <v>37565.28</v>
      </c>
      <c r="L13" s="107">
        <f>IF('Cash Flow IRR Module Inputs'!$C$30=8,'Cash Flow Proforma'!L139,IF('Cash Flow IRR Module Inputs'!$C$30=7,'Cash Flow Proforma'!L132,IF('Cash Flow IRR Module Inputs'!$C$30=6,'Cash Flow Proforma'!L125,IF('Cash Flow IRR Module Inputs'!$C$30=5,'Cash Flow Proforma'!L118,IF('Cash Flow IRR Module Inputs'!$C$30=4,'Cash Flow Proforma'!L111,IF('Cash Flow IRR Module Inputs'!$C$30=3,'Cash Flow Proforma'!L104,IF('Cash Flow IRR Module Inputs'!$C$30=0,'Cash Flow Proforma'!L77)))))))</f>
        <v>36568.28</v>
      </c>
      <c r="M13" s="158">
        <f>IF('Cash Flow IRR Module Inputs'!$C$30=8,'Cash Flow Proforma'!M139,IF('Cash Flow IRR Module Inputs'!$C$30=7,'Cash Flow Proforma'!M132,IF('Cash Flow IRR Module Inputs'!$C$30=6,'Cash Flow Proforma'!M125,IF('Cash Flow IRR Module Inputs'!$C$30=5,'Cash Flow Proforma'!M118,IF('Cash Flow IRR Module Inputs'!$C$30=4,'Cash Flow Proforma'!M111,IF('Cash Flow IRR Module Inputs'!$C$30=3,'Cash Flow Proforma'!M104,IF('Cash Flow IRR Module Inputs'!$C$30=0,'Cash Flow Proforma'!M77)))))))</f>
        <v>35486.28</v>
      </c>
      <c r="N13" s="130"/>
    </row>
    <row r="14" spans="1:14" ht="15.75" customHeight="1">
      <c r="A14" s="96" t="s">
        <v>93</v>
      </c>
      <c r="B14" s="97" t="s">
        <v>80</v>
      </c>
      <c r="C14" s="98"/>
      <c r="D14" s="99">
        <f>IF('Cash Flow IRR Module Inputs'!C14=39,ROUND(('Cash Flow IRR Module Inputs'!$D$11*'Cash Flow IRR Module Inputs'!$C$13+'Cash Flow IRR Module Inputs'!$C$12)*'Acquisition Info'!D116,0),IF('Cash Flow IRR Module Inputs'!$C$14=27.5,ROUND(('Cash Flow IRR Module Inputs'!$D$11*'Cash Flow IRR Module Inputs'!$C$13+'Cash Flow IRR Module Inputs'!$C$12)*'Acquisition Info'!D114,0)))</f>
        <v>18122</v>
      </c>
      <c r="E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F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G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H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I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J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K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L14" s="100">
        <f>IF('Cash Flow IRR Module Inputs'!$C$14=39,ROUND(('Cash Flow IRR Module Inputs'!$D$11*'Cash Flow IRR Module Inputs'!$C$13+'Cash Flow IRR Module Inputs'!$C$12)*'Acquisition Info'!$D$117,0),IF('Cash Flow IRR Module Inputs'!$C$14=27.5,ROUND(('Cash Flow IRR Module Inputs'!$D$11*'Cash Flow IRR Module Inputs'!$C$13+'Cash Flow IRR Module Inputs'!$C$12)*'Acquisition Info'!$D$115,0)))</f>
        <v>18907</v>
      </c>
      <c r="M14" s="159">
        <f>D14</f>
        <v>18122</v>
      </c>
      <c r="N14" s="130"/>
    </row>
    <row r="15" spans="1:14" ht="15.75" customHeight="1" thickBot="1">
      <c r="A15" s="101" t="s">
        <v>94</v>
      </c>
      <c r="B15" s="102" t="s">
        <v>115</v>
      </c>
      <c r="C15" s="103"/>
      <c r="D15" s="104">
        <f>IF('Cash Flow IRR Module Inputs'!$C$30=8,'Cash Flow Proforma'!D80,IF('Cash Flow IRR Module Inputs'!$C$30=7,'Cash Flow Proforma'!D80,IF('Cash Flow IRR Module Inputs'!C30=6,D80,IF('Cash Flow IRR Module Inputs'!$C$30=5,'Cash Flow Proforma'!D80,IF('Cash Flow IRR Module Inputs'!$C$30=4,'Cash Flow Proforma'!D80,IF('Cash Flow IRR Module Inputs'!$C$30=3,'Cash Flow Proforma'!D80,IF('Cash Flow IRR Module Inputs'!$C$30=0,'Cash Flow Proforma'!D80)))))))</f>
        <v>208</v>
      </c>
      <c r="E15" s="104">
        <f>IF('Cash Flow IRR Module Inputs'!$C$30=8,'Cash Flow Proforma'!E80,IF('Cash Flow IRR Module Inputs'!$C$30=7,'Cash Flow Proforma'!E80,IF('Cash Flow IRR Module Inputs'!C30=6,E80,IF('Cash Flow IRR Module Inputs'!$C$30=5,'Cash Flow Proforma'!D80,IF('Cash Flow IRR Module Inputs'!$C$30=4,E80,IF('Cash Flow IRR Module Inputs'!$C$30=3,'Cash Flow Proforma'!E80,IF('Cash Flow IRR Module Inputs'!$C$30=0,'Cash Flow Proforma'!E80)))))))</f>
        <v>208</v>
      </c>
      <c r="F15" s="104">
        <f>IF('Cash Flow IRR Module Inputs'!$C$30=8,'Cash Flow Proforma'!F80,IF('Cash Flow IRR Module Inputs'!$C$30=7,'Cash Flow Proforma'!F80,IF('Cash Flow IRR Module Inputs'!C30=6,F80,IF('Cash Flow IRR Module Inputs'!$C$30=5,'Cash Flow Proforma'!D80,IF('Cash Flow IRR Module Inputs'!$C$30=4,F80,IF('Cash Flow IRR Module Inputs'!$C$30=3,'Cash Flow Proforma'!$F$79,IF('Cash Flow IRR Module Inputs'!$C$30=0,'Cash Flow Proforma'!F80)))))))</f>
        <v>208</v>
      </c>
      <c r="G15" s="104">
        <f>IF('Cash Flow IRR Module Inputs'!$C$30=8,'Cash Flow Proforma'!G80,IF('Cash Flow IRR Module Inputs'!$C$30=7,'Cash Flow Proforma'!G80,IF('Cash Flow IRR Module Inputs'!C30=6,G80,IF('Cash Flow IRR Module Inputs'!$C$30=5,'Cash Flow Proforma'!D80,IF('Cash Flow IRR Module Inputs'!$C$30=4,$G$79,IF('Cash Flow IRR Module Inputs'!$C$30=3,'Cash Flow Proforma'!G107,IF('Cash Flow IRR Module Inputs'!$C$30=0,'Cash Flow Proforma'!G80)))))))</f>
        <v>208</v>
      </c>
      <c r="H15" s="104">
        <f>IF('Cash Flow IRR Module Inputs'!$C$30=8,'Cash Flow Proforma'!H80,IF('Cash Flow IRR Module Inputs'!$C$30=7,'Cash Flow Proforma'!H80,IF('Cash Flow IRR Module Inputs'!C30=6,H80,IF('Cash Flow IRR Module Inputs'!$C$30=5,'Cash Flow Proforma'!$H$79,IF('Cash Flow IRR Module Inputs'!$C$30=4,H114,IF('Cash Flow IRR Module Inputs'!$C$30=3,'Cash Flow Proforma'!H107,IF('Cash Flow IRR Module Inputs'!$C$30=0,'Cash Flow Proforma'!H80)))))))</f>
        <v>208</v>
      </c>
      <c r="I15" s="104">
        <f>IF('Cash Flow IRR Module Inputs'!$C$30=8,'Cash Flow Proforma'!I80,IF('Cash Flow IRR Module Inputs'!$C$30=7,'Cash Flow Proforma'!I80,IF('Cash Flow IRR Module Inputs'!C30=6,I79,IF('Cash Flow IRR Module Inputs'!$C$30=5,'Cash Flow Proforma'!I121,IF('Cash Flow IRR Module Inputs'!$C$30=4,I114,IF('Cash Flow IRR Module Inputs'!$C$30=3,'Cash Flow Proforma'!I107,IF('Cash Flow IRR Module Inputs'!$C$30=0,'Cash Flow Proforma'!I80)))))))</f>
        <v>208</v>
      </c>
      <c r="J15" s="104">
        <f>IF('Cash Flow IRR Module Inputs'!$C$30=8,'Cash Flow Proforma'!J80,IF('Cash Flow IRR Module Inputs'!$C$30=7,'Cash Flow Proforma'!$J$79,IF('Cash Flow IRR Module Inputs'!C30=6,J128,IF('Cash Flow IRR Module Inputs'!$C$30=5,'Cash Flow Proforma'!J121,IF('Cash Flow IRR Module Inputs'!$C$30=4,J114,IF('Cash Flow IRR Module Inputs'!$C$30=3,'Cash Flow Proforma'!J107,IF('Cash Flow IRR Module Inputs'!$C$30=0,'Cash Flow Proforma'!J80)))))))</f>
        <v>208</v>
      </c>
      <c r="K15" s="104">
        <f>IF('Cash Flow IRR Module Inputs'!$C$30=8,'Cash Flow Proforma'!$K$79,IF('Cash Flow IRR Module Inputs'!$C$30=7,'Cash Flow Proforma'!K135,IF('Cash Flow IRR Module Inputs'!C30=6,K128,IF('Cash Flow IRR Module Inputs'!$C$30=5,'Cash Flow Proforma'!K121,IF('Cash Flow IRR Module Inputs'!$C$30=4,K114,IF('Cash Flow IRR Module Inputs'!$C$30=3,'Cash Flow Proforma'!K107,IF('Cash Flow IRR Module Inputs'!$C$30=0,'Cash Flow Proforma'!K80)))))))</f>
        <v>208</v>
      </c>
      <c r="L15" s="104">
        <f>IF('Cash Flow IRR Module Inputs'!$C$30=8,'Cash Flow Proforma'!L142,IF('Cash Flow IRR Module Inputs'!$C$30=7,'Cash Flow Proforma'!L135,IF('Cash Flow IRR Module Inputs'!C30=6,L128,IF('Cash Flow IRR Module Inputs'!$C$30=5,'Cash Flow Proforma'!L121,IF('Cash Flow IRR Module Inputs'!$C$30=4,L114,IF('Cash Flow IRR Module Inputs'!$C$30=3,'Cash Flow Proforma'!L107,IF('Cash Flow IRR Module Inputs'!$C$30=0,'Cash Flow Proforma'!L80)))))))</f>
        <v>208</v>
      </c>
      <c r="M15" s="160">
        <f>IF('Cash Flow IRR Module Inputs'!$C$30=8,'Cash Flow Proforma'!M142,IF('Cash Flow IRR Module Inputs'!$C$30=7,'Cash Flow Proforma'!M135,IF('Cash Flow IRR Module Inputs'!C30=6,M128,IF('Cash Flow IRR Module Inputs'!$C$30=5,'Cash Flow Proforma'!M121,IF('Cash Flow IRR Module Inputs'!$C$30=4,M114,IF('Cash Flow IRR Module Inputs'!$C$30=3,'Cash Flow Proforma'!M107,IF('Cash Flow IRR Module Inputs'!$C$30=0,'Cash Flow Proforma'!M80)))))))</f>
        <v>208</v>
      </c>
      <c r="N15" s="130"/>
    </row>
    <row r="16" spans="1:14" ht="19.5" customHeight="1" thickBot="1" thickTop="1">
      <c r="A16" s="81" t="s">
        <v>95</v>
      </c>
      <c r="B16" s="86" t="s">
        <v>4</v>
      </c>
      <c r="C16" s="83"/>
      <c r="D16" s="84">
        <f>D12-D13-D14-D15</f>
        <v>-5449.279999999999</v>
      </c>
      <c r="E16" s="85">
        <f aca="true" t="shared" si="2" ref="E16:M16">E12-E13-E14-E15</f>
        <v>-3893.540000000001</v>
      </c>
      <c r="F16" s="85">
        <f t="shared" si="2"/>
        <v>-1450.1352000000043</v>
      </c>
      <c r="G16" s="85">
        <f>G12-G13-G14-G15</f>
        <v>1103.6497959999979</v>
      </c>
      <c r="H16" s="85">
        <f t="shared" si="2"/>
        <v>3773.582754920011</v>
      </c>
      <c r="I16" s="85">
        <f t="shared" si="2"/>
        <v>6565.485403908409</v>
      </c>
      <c r="J16" s="85">
        <f t="shared" si="2"/>
        <v>9487.235067693284</v>
      </c>
      <c r="K16" s="85">
        <f t="shared" si="2"/>
        <v>12545.766355425061</v>
      </c>
      <c r="L16" s="85">
        <f t="shared" si="2"/>
        <v>15750.07289850281</v>
      </c>
      <c r="M16" s="108">
        <f t="shared" si="2"/>
        <v>19893.209140921186</v>
      </c>
      <c r="N16" s="130"/>
    </row>
    <row r="17" spans="1:14" ht="15.75" customHeight="1" thickTop="1">
      <c r="A17" s="92" t="s">
        <v>96</v>
      </c>
      <c r="B17" s="93" t="s">
        <v>5</v>
      </c>
      <c r="C17" s="106"/>
      <c r="D17" s="109">
        <f>'Cash Flow IRR Module Inputs'!C4</f>
        <v>0.34</v>
      </c>
      <c r="E17" s="110">
        <f>D17</f>
        <v>0.34</v>
      </c>
      <c r="F17" s="110">
        <f aca="true" t="shared" si="3" ref="F17:M17">E17</f>
        <v>0.34</v>
      </c>
      <c r="G17" s="110">
        <f t="shared" si="3"/>
        <v>0.34</v>
      </c>
      <c r="H17" s="110">
        <f t="shared" si="3"/>
        <v>0.34</v>
      </c>
      <c r="I17" s="110">
        <f t="shared" si="3"/>
        <v>0.34</v>
      </c>
      <c r="J17" s="110">
        <f t="shared" si="3"/>
        <v>0.34</v>
      </c>
      <c r="K17" s="110">
        <f t="shared" si="3"/>
        <v>0.34</v>
      </c>
      <c r="L17" s="110">
        <f t="shared" si="3"/>
        <v>0.34</v>
      </c>
      <c r="M17" s="161">
        <f t="shared" si="3"/>
        <v>0.34</v>
      </c>
      <c r="N17" s="130"/>
    </row>
    <row r="18" spans="1:14" ht="15.75" customHeight="1" thickBot="1">
      <c r="A18" s="101" t="s">
        <v>97</v>
      </c>
      <c r="B18" s="102" t="s">
        <v>71</v>
      </c>
      <c r="C18" s="103"/>
      <c r="D18" s="104">
        <f>D16*D17</f>
        <v>-1852.7551999999998</v>
      </c>
      <c r="E18" s="105">
        <f aca="true" t="shared" si="4" ref="E18:M18">E16*E17</f>
        <v>-1323.8036000000004</v>
      </c>
      <c r="F18" s="105">
        <f t="shared" si="4"/>
        <v>-493.0459680000015</v>
      </c>
      <c r="G18" s="105">
        <f t="shared" si="4"/>
        <v>375.2409306399993</v>
      </c>
      <c r="H18" s="105">
        <f t="shared" si="4"/>
        <v>1283.0181366728038</v>
      </c>
      <c r="I18" s="105">
        <f t="shared" si="4"/>
        <v>2232.2650373288593</v>
      </c>
      <c r="J18" s="105">
        <f t="shared" si="4"/>
        <v>3225.6599230157167</v>
      </c>
      <c r="K18" s="105">
        <f t="shared" si="4"/>
        <v>4265.560560844521</v>
      </c>
      <c r="L18" s="105">
        <f t="shared" si="4"/>
        <v>5355.024785490956</v>
      </c>
      <c r="M18" s="162">
        <f t="shared" si="4"/>
        <v>6763.691107913204</v>
      </c>
      <c r="N18" s="130"/>
    </row>
    <row r="19" spans="1:14" ht="19.5" customHeight="1" thickBot="1" thickTop="1">
      <c r="A19" s="81" t="s">
        <v>98</v>
      </c>
      <c r="B19" s="86" t="s">
        <v>2</v>
      </c>
      <c r="C19" s="83"/>
      <c r="D19" s="84">
        <f aca="true" t="shared" si="5" ref="D19:M19">D12</f>
        <v>55537</v>
      </c>
      <c r="E19" s="85">
        <f t="shared" si="5"/>
        <v>57316.74</v>
      </c>
      <c r="F19" s="85">
        <f t="shared" si="5"/>
        <v>59152.144799999995</v>
      </c>
      <c r="G19" s="85">
        <f t="shared" si="5"/>
        <v>61044.929796</v>
      </c>
      <c r="H19" s="85">
        <f t="shared" si="5"/>
        <v>62996.86275492001</v>
      </c>
      <c r="I19" s="85">
        <f t="shared" si="5"/>
        <v>65009.76540390841</v>
      </c>
      <c r="J19" s="85">
        <f t="shared" si="5"/>
        <v>67085.51506769328</v>
      </c>
      <c r="K19" s="85">
        <f t="shared" si="5"/>
        <v>69226.04635542506</v>
      </c>
      <c r="L19" s="85">
        <f t="shared" si="5"/>
        <v>71433.35289850281</v>
      </c>
      <c r="M19" s="108">
        <f t="shared" si="5"/>
        <v>73709.48914092119</v>
      </c>
      <c r="N19" s="130"/>
    </row>
    <row r="20" spans="1:14" ht="15.75" customHeight="1" thickTop="1">
      <c r="A20" s="92" t="s">
        <v>99</v>
      </c>
      <c r="B20" s="93" t="s">
        <v>6</v>
      </c>
      <c r="C20" s="106"/>
      <c r="D20" s="107">
        <f>IF('Cash Flow IRR Module Inputs'!$C$30=8,'Cash Flow Proforma'!D76,IF('Cash Flow IRR Module Inputs'!$C$30=7,'Cash Flow Proforma'!D76,IF('Cash Flow IRR Module Inputs'!$C$30=6,'Cash Flow Proforma'!D76,IF('Cash Flow IRR Module Inputs'!$C$30=5,'Cash Flow Proforma'!D76,IF('Cash Flow IRR Module Inputs'!$C$30=4,'Cash Flow Proforma'!D76,IF('Cash Flow IRR Module Inputs'!$C$30=3,'Cash Flow Proforma'!D76,IF('Cash Flow IRR Module Inputs'!$C$30=0,'Cash Flow Proforma'!D76)))))))</f>
        <v>49199.28</v>
      </c>
      <c r="E20" s="107">
        <f>IF('Cash Flow IRR Module Inputs'!$C$30=8,'Cash Flow Proforma'!E76,IF('Cash Flow IRR Module Inputs'!$C$30=7,'Cash Flow Proforma'!E76,IF('Cash Flow IRR Module Inputs'!$C$30=6,'Cash Flow Proforma'!E76,IF('Cash Flow IRR Module Inputs'!$C$30=5,'Cash Flow Proforma'!E76,IF('Cash Flow IRR Module Inputs'!$C$30=4,'Cash Flow Proforma'!E76,IF('Cash Flow IRR Module Inputs'!$C$30=3,'Cash Flow Proforma'!E76,IF('Cash Flow IRR Module Inputs'!$C$30=0,'Cash Flow Proforma'!E76)))))))</f>
        <v>49199.28</v>
      </c>
      <c r="F20" s="107">
        <f>IF('Cash Flow IRR Module Inputs'!$C$30=8,'Cash Flow Proforma'!F76,IF('Cash Flow IRR Module Inputs'!$C$30=7,'Cash Flow Proforma'!F76,IF('Cash Flow IRR Module Inputs'!$C$30=6,'Cash Flow Proforma'!F76,IF('Cash Flow IRR Module Inputs'!$C$30=5,'Cash Flow Proforma'!F76,IF('Cash Flow IRR Module Inputs'!$C$30=4,'Cash Flow Proforma'!F76,IF('Cash Flow IRR Module Inputs'!$C$30=3,'Cash Flow Proforma'!F76,IF('Cash Flow IRR Module Inputs'!$C$30=0,'Cash Flow Proforma'!F76)))))))</f>
        <v>49199.28</v>
      </c>
      <c r="G20" s="107">
        <f>IF('Cash Flow IRR Module Inputs'!$C$30=8,'Cash Flow Proforma'!G76,IF('Cash Flow IRR Module Inputs'!$C$30=7,'Cash Flow Proforma'!G76,IF('Cash Flow IRR Module Inputs'!$C$30=6,'Cash Flow Proforma'!G76,IF('Cash Flow IRR Module Inputs'!$C$30=5,'Cash Flow Proforma'!G76,IF('Cash Flow IRR Module Inputs'!$C$30=4,'Cash Flow Proforma'!G76,IF('Cash Flow IRR Module Inputs'!$C$30=3,'Cash Flow Proforma'!G103,IF('Cash Flow IRR Module Inputs'!$C$30=0,'Cash Flow Proforma'!G76)))))))</f>
        <v>49199.28</v>
      </c>
      <c r="H20" s="107">
        <f>IF('Cash Flow IRR Module Inputs'!$C$30=8,'Cash Flow Proforma'!H76,IF('Cash Flow IRR Module Inputs'!$C$30=7,'Cash Flow Proforma'!H76,IF('Cash Flow IRR Module Inputs'!$C$30=6,'Cash Flow Proforma'!H76,IF('Cash Flow IRR Module Inputs'!$C$30=5,'Cash Flow Proforma'!H76,IF('Cash Flow IRR Module Inputs'!$C$30=4,'Cash Flow Proforma'!H110,IF('Cash Flow IRR Module Inputs'!$C$30=3,'Cash Flow Proforma'!H103,IF('Cash Flow IRR Module Inputs'!$C$30=0,'Cash Flow Proforma'!H76)))))))</f>
        <v>49199.28</v>
      </c>
      <c r="I20" s="107">
        <f>IF('Cash Flow IRR Module Inputs'!$C$30=8,'Cash Flow Proforma'!I76,IF('Cash Flow IRR Module Inputs'!$C$30=7,'Cash Flow Proforma'!I76,IF('Cash Flow IRR Module Inputs'!$C$30=6,'Cash Flow Proforma'!I76,IF('Cash Flow IRR Module Inputs'!$C$30=5,'Cash Flow Proforma'!I117,IF('Cash Flow IRR Module Inputs'!$C$30=4,'Cash Flow Proforma'!I110,IF('Cash Flow IRR Module Inputs'!$C$30=3,'Cash Flow Proforma'!I103,IF('Cash Flow IRR Module Inputs'!$C$30=0,'Cash Flow Proforma'!I76)))))))</f>
        <v>49199.28</v>
      </c>
      <c r="J20" s="107">
        <f>IF('Cash Flow IRR Module Inputs'!$C$30=8,'Cash Flow Proforma'!J76,IF('Cash Flow IRR Module Inputs'!$C$30=7,'Cash Flow Proforma'!J76,IF('Cash Flow IRR Module Inputs'!$C$30=6,'Cash Flow Proforma'!J124,IF('Cash Flow IRR Module Inputs'!$C$30=5,'Cash Flow Proforma'!J117,IF('Cash Flow IRR Module Inputs'!$C$30=4,'Cash Flow Proforma'!J110,IF('Cash Flow IRR Module Inputs'!$C$30=3,'Cash Flow Proforma'!J103,IF('Cash Flow IRR Module Inputs'!$C$30=0,'Cash Flow Proforma'!J76)))))))</f>
        <v>49199.28</v>
      </c>
      <c r="K20" s="107">
        <f>IF('Cash Flow IRR Module Inputs'!$C$30=8,'Cash Flow Proforma'!K76,IF('Cash Flow IRR Module Inputs'!$C$30=7,'Cash Flow Proforma'!K131,IF('Cash Flow IRR Module Inputs'!$C$30=6,'Cash Flow Proforma'!K124,IF('Cash Flow IRR Module Inputs'!$C$30=5,'Cash Flow Proforma'!K117,IF('Cash Flow IRR Module Inputs'!$C$30=4,'Cash Flow Proforma'!K110,IF('Cash Flow IRR Module Inputs'!$C$30=3,'Cash Flow Proforma'!K103,IF('Cash Flow IRR Module Inputs'!$C$30=0,'Cash Flow Proforma'!K76)))))))</f>
        <v>49199.28</v>
      </c>
      <c r="L20" s="107">
        <f>IF('Cash Flow IRR Module Inputs'!$C$30=8,'Cash Flow Proforma'!L138,IF('Cash Flow IRR Module Inputs'!$C$30=7,'Cash Flow Proforma'!L131,IF('Cash Flow IRR Module Inputs'!$C$30=6,'Cash Flow Proforma'!L124,IF('Cash Flow IRR Module Inputs'!$C$30=5,'Cash Flow Proforma'!L117,IF('Cash Flow IRR Module Inputs'!$C$30=4,'Cash Flow Proforma'!L110,IF('Cash Flow IRR Module Inputs'!$C$30=3,'Cash Flow Proforma'!L103,IF('Cash Flow IRR Module Inputs'!$C$30=0,'Cash Flow Proforma'!L76)))))))</f>
        <v>49199.28</v>
      </c>
      <c r="M20" s="163">
        <f>IF('Cash Flow IRR Module Inputs'!$C$30=8,'Cash Flow Proforma'!M138,IF('Cash Flow IRR Module Inputs'!$C$30=7,'Cash Flow Proforma'!M131,IF('Cash Flow IRR Module Inputs'!$C$30=6,'Cash Flow Proforma'!M124,IF('Cash Flow IRR Module Inputs'!$C$30=5,'Cash Flow Proforma'!M117,IF('Cash Flow IRR Module Inputs'!$C$30=4,'Cash Flow Proforma'!M110,IF('Cash Flow IRR Module Inputs'!$C$30=3,'Cash Flow Proforma'!M103,IF('Cash Flow IRR Module Inputs'!$C$30=0,'Cash Flow Proforma'!M76)))))))</f>
        <v>49199.28</v>
      </c>
      <c r="N20" s="130"/>
    </row>
    <row r="21" spans="1:14" ht="15.75" customHeight="1" thickBot="1">
      <c r="A21" s="101" t="s">
        <v>100</v>
      </c>
      <c r="B21" s="102" t="s">
        <v>140</v>
      </c>
      <c r="C21" s="111"/>
      <c r="D21" s="104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E21" s="104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F21" s="104">
        <f>IF('Cash Flow IRR Module Inputs'!$C$30=8,0,IF('Cash Flow IRR Module Inputs'!$C$30=7,0,IF('Cash Flow IRR Module Inputs'!$C$30=6,0,IF('Cash Flow IRR Module Inputs'!$C$30=5,0,IF('Cash Flow IRR Module Inputs'!$C$30=4,0,IF('Cash Flow IRR Module Inputs'!$C$30=3,F86,IF('Cash Flow IRR Module Inputs'!$C$30=0,0)))))))</f>
        <v>0</v>
      </c>
      <c r="G21" s="104">
        <f>IF('Cash Flow IRR Module Inputs'!$C$30=8,0,IF('Cash Flow IRR Module Inputs'!$C$30=7,0,IF('Cash Flow IRR Module Inputs'!$C$30=6,0,IF('Cash Flow IRR Module Inputs'!$C$30=5,0,IF('Cash Flow IRR Module Inputs'!$C$30=4,G86,IF('Cash Flow IRR Module Inputs'!$C$30=3,0,IF('Cash Flow IRR Module Inputs'!$C$30=0,0)))))))</f>
        <v>0</v>
      </c>
      <c r="H21" s="104">
        <f>IF('Cash Flow IRR Module Inputs'!$C$30=8,0,IF('Cash Flow IRR Module Inputs'!$C$30=7,0,IF('Cash Flow IRR Module Inputs'!$C$30=6,0,IF('Cash Flow IRR Module Inputs'!$C$30=5,H86,IF('Cash Flow IRR Module Inputs'!$C$30=4,0,IF('Cash Flow IRR Module Inputs'!$C$30=3,0,IF('Cash Flow IRR Module Inputs'!$C$30=0,0)))))))</f>
        <v>0</v>
      </c>
      <c r="I21" s="104">
        <f>IF('Cash Flow IRR Module Inputs'!$C$30=8,0,IF('Cash Flow IRR Module Inputs'!$C$30=7,0,IF('Cash Flow IRR Module Inputs'!$C$30=6,I86,IF('Cash Flow IRR Module Inputs'!$C$30=5,0,IF('Cash Flow IRR Module Inputs'!$C$30=4,0,IF('Cash Flow IRR Module Inputs'!$C$30=3,0,IF('Cash Flow IRR Module Inputs'!$C$30=0,0)))))))</f>
        <v>0</v>
      </c>
      <c r="J21" s="104">
        <f>IF('Cash Flow IRR Module Inputs'!$C$30=8,0,IF('Cash Flow IRR Module Inputs'!$C$30=7,J86,IF('Cash Flow IRR Module Inputs'!$C$30=6,0,IF('Cash Flow IRR Module Inputs'!$C$30=5,0,IF('Cash Flow IRR Module Inputs'!$C$30=4,0,IF('Cash Flow IRR Module Inputs'!$C$30=3,0,IF('Cash Flow IRR Module Inputs'!$C$30=0,0)))))))</f>
        <v>0</v>
      </c>
      <c r="K21" s="104">
        <f>IF('Cash Flow IRR Module Inputs'!$C$30=8,K86,IF('Cash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L21" s="104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M21" s="160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N21" s="130"/>
    </row>
    <row r="22" spans="1:14" ht="19.5" customHeight="1" thickBot="1" thickTop="1">
      <c r="A22" s="81" t="s">
        <v>101</v>
      </c>
      <c r="B22" s="86" t="s">
        <v>7</v>
      </c>
      <c r="C22" s="83"/>
      <c r="D22" s="84">
        <f>D19-D20-D21</f>
        <v>6337.720000000001</v>
      </c>
      <c r="E22" s="85">
        <f aca="true" t="shared" si="6" ref="E22:M22">E19-E20-E21</f>
        <v>8117.459999999999</v>
      </c>
      <c r="F22" s="85">
        <f t="shared" si="6"/>
        <v>9952.864799999996</v>
      </c>
      <c r="G22" s="85">
        <f t="shared" si="6"/>
        <v>11845.649795999998</v>
      </c>
      <c r="H22" s="85">
        <f t="shared" si="6"/>
        <v>13797.582754920011</v>
      </c>
      <c r="I22" s="85">
        <f t="shared" si="6"/>
        <v>15810.48540390841</v>
      </c>
      <c r="J22" s="85">
        <f t="shared" si="6"/>
        <v>17886.235067693284</v>
      </c>
      <c r="K22" s="85">
        <f t="shared" si="6"/>
        <v>20026.76635542506</v>
      </c>
      <c r="L22" s="85">
        <f t="shared" si="6"/>
        <v>22234.07289850281</v>
      </c>
      <c r="M22" s="108">
        <f t="shared" si="6"/>
        <v>24510.209140921186</v>
      </c>
      <c r="N22" s="130"/>
    </row>
    <row r="23" spans="1:14" ht="15.75" customHeight="1" thickBot="1" thickTop="1">
      <c r="A23" s="87" t="s">
        <v>102</v>
      </c>
      <c r="B23" s="88" t="s">
        <v>8</v>
      </c>
      <c r="C23" s="89"/>
      <c r="D23" s="90">
        <f aca="true" t="shared" si="7" ref="D23:M23">D18</f>
        <v>-1852.7551999999998</v>
      </c>
      <c r="E23" s="91">
        <f t="shared" si="7"/>
        <v>-1323.8036000000004</v>
      </c>
      <c r="F23" s="91">
        <f t="shared" si="7"/>
        <v>-493.0459680000015</v>
      </c>
      <c r="G23" s="91">
        <f t="shared" si="7"/>
        <v>375.2409306399993</v>
      </c>
      <c r="H23" s="91">
        <f t="shared" si="7"/>
        <v>1283.0181366728038</v>
      </c>
      <c r="I23" s="91">
        <f t="shared" si="7"/>
        <v>2232.2650373288593</v>
      </c>
      <c r="J23" s="91">
        <f t="shared" si="7"/>
        <v>3225.6599230157167</v>
      </c>
      <c r="K23" s="91">
        <f t="shared" si="7"/>
        <v>4265.560560844521</v>
      </c>
      <c r="L23" s="91">
        <f t="shared" si="7"/>
        <v>5355.024785490956</v>
      </c>
      <c r="M23" s="164">
        <f t="shared" si="7"/>
        <v>6763.691107913204</v>
      </c>
      <c r="N23" s="130"/>
    </row>
    <row r="24" spans="1:14" ht="19.5" customHeight="1" thickBot="1" thickTop="1">
      <c r="A24" s="81" t="s">
        <v>103</v>
      </c>
      <c r="B24" s="86" t="s">
        <v>9</v>
      </c>
      <c r="C24" s="83"/>
      <c r="D24" s="84">
        <f>D22-D23</f>
        <v>8190.475200000001</v>
      </c>
      <c r="E24" s="85">
        <f aca="true" t="shared" si="8" ref="E24:M24">E22-E23</f>
        <v>9441.2636</v>
      </c>
      <c r="F24" s="183">
        <f t="shared" si="8"/>
        <v>10445.910767999998</v>
      </c>
      <c r="G24" s="85">
        <f t="shared" si="8"/>
        <v>11470.40886536</v>
      </c>
      <c r="H24" s="85">
        <f t="shared" si="8"/>
        <v>12514.564618247208</v>
      </c>
      <c r="I24" s="85">
        <f t="shared" si="8"/>
        <v>13578.22036657955</v>
      </c>
      <c r="J24" s="85">
        <f t="shared" si="8"/>
        <v>14660.575144677567</v>
      </c>
      <c r="K24" s="85">
        <f t="shared" si="8"/>
        <v>15761.205794580539</v>
      </c>
      <c r="L24" s="85">
        <f t="shared" si="8"/>
        <v>16879.048113011857</v>
      </c>
      <c r="M24" s="108">
        <f t="shared" si="8"/>
        <v>17746.518033007982</v>
      </c>
      <c r="N24" s="130"/>
    </row>
    <row r="25" spans="1:14" ht="15.75" customHeight="1" thickBot="1" thickTop="1">
      <c r="A25" s="87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30"/>
    </row>
    <row r="26" spans="1:14" ht="19.5" customHeight="1" thickTop="1">
      <c r="A26" s="114" t="s">
        <v>104</v>
      </c>
      <c r="B26" s="115" t="s">
        <v>26</v>
      </c>
      <c r="C26" s="116"/>
      <c r="D26" s="133">
        <f>IF(D12=0,0,D12/D20)</f>
        <v>1.1288173322861637</v>
      </c>
      <c r="E26" s="133">
        <f aca="true" t="shared" si="9" ref="E26:M26">IF(E12=0,0,E12/E20)</f>
        <v>1.1649914388991058</v>
      </c>
      <c r="F26" s="133">
        <f t="shared" si="9"/>
        <v>1.2022969604433236</v>
      </c>
      <c r="G26" s="133">
        <f t="shared" si="9"/>
        <v>1.2407687632014126</v>
      </c>
      <c r="H26" s="133">
        <f t="shared" si="9"/>
        <v>1.2804427779211405</v>
      </c>
      <c r="I26" s="133">
        <f t="shared" si="9"/>
        <v>1.3213560321189337</v>
      </c>
      <c r="J26" s="133">
        <f t="shared" si="9"/>
        <v>1.363546683359864</v>
      </c>
      <c r="K26" s="133">
        <f t="shared" si="9"/>
        <v>1.4070540535435694</v>
      </c>
      <c r="L26" s="133">
        <f t="shared" si="9"/>
        <v>1.4519186642264441</v>
      </c>
      <c r="M26" s="154">
        <f t="shared" si="9"/>
        <v>1.4981822730113366</v>
      </c>
      <c r="N26" s="130"/>
    </row>
    <row r="27" spans="1:14" ht="19.5" customHeight="1">
      <c r="A27" s="117" t="s">
        <v>105</v>
      </c>
      <c r="B27" s="118" t="s">
        <v>73</v>
      </c>
      <c r="C27" s="119"/>
      <c r="D27" s="120">
        <f>IF(D3=0,0,(SUM(D7:D11)+D20)/D3)</f>
        <v>0.8795808888888889</v>
      </c>
      <c r="E27" s="120">
        <f aca="true" t="shared" si="10" ref="E27:M27">IF(E3=0,0,(SUM(E7:E11)+E20)/E3)</f>
        <v>0.8624330097087379</v>
      </c>
      <c r="F27" s="120">
        <f t="shared" si="10"/>
        <v>0.8457607817262073</v>
      </c>
      <c r="G27" s="120">
        <f t="shared" si="10"/>
        <v>0.8295505821063571</v>
      </c>
      <c r="H27" s="120">
        <f t="shared" si="10"/>
        <v>0.813789182552319</v>
      </c>
      <c r="I27" s="120">
        <f t="shared" si="10"/>
        <v>0.7984637378356778</v>
      </c>
      <c r="J27" s="120">
        <f t="shared" si="10"/>
        <v>0.7835617746607085</v>
      </c>
      <c r="K27" s="120">
        <f t="shared" si="10"/>
        <v>0.7690711808527468</v>
      </c>
      <c r="L27" s="120">
        <f t="shared" si="10"/>
        <v>0.754980194861252</v>
      </c>
      <c r="M27" s="155">
        <f t="shared" si="10"/>
        <v>0.7412773955684033</v>
      </c>
      <c r="N27" s="130"/>
    </row>
    <row r="28" spans="1:14" ht="19.5" customHeight="1">
      <c r="A28" s="117" t="s">
        <v>106</v>
      </c>
      <c r="B28" s="118" t="s">
        <v>27</v>
      </c>
      <c r="C28" s="119"/>
      <c r="D28" s="120">
        <f>IF(D5=0,0,SUM(D7:D11)/D5)</f>
        <v>0.35044444444444445</v>
      </c>
      <c r="E28" s="120">
        <f aca="true" t="shared" si="11" ref="E28:M28">IF(E5=0,0,SUM(E7:E11)/E5)</f>
        <v>0.34915414750468404</v>
      </c>
      <c r="F28" s="120">
        <f t="shared" si="11"/>
        <v>0.3478763777196786</v>
      </c>
      <c r="G28" s="120">
        <f t="shared" si="11"/>
        <v>0.3466110134665664</v>
      </c>
      <c r="H28" s="120">
        <f t="shared" si="11"/>
        <v>0.34535793430329026</v>
      </c>
      <c r="I28" s="120">
        <f t="shared" si="11"/>
        <v>0.34411702095713326</v>
      </c>
      <c r="J28" s="120">
        <f t="shared" si="11"/>
        <v>0.34288815531336614</v>
      </c>
      <c r="K28" s="120">
        <f t="shared" si="11"/>
        <v>0.34167122040400455</v>
      </c>
      <c r="L28" s="120">
        <f t="shared" si="11"/>
        <v>0.3404661003966756</v>
      </c>
      <c r="M28" s="155">
        <f t="shared" si="11"/>
        <v>0.33927268058359256</v>
      </c>
      <c r="N28" s="130"/>
    </row>
    <row r="29" spans="1:14" ht="19.5" customHeight="1">
      <c r="A29" s="117" t="s">
        <v>107</v>
      </c>
      <c r="B29" s="118" t="s">
        <v>28</v>
      </c>
      <c r="C29" s="119"/>
      <c r="D29" s="132">
        <f>IF('Acquisition Info'!$D$112=0,0,D22/'Acquisition Info'!$D$112)</f>
        <v>0.04687662721893492</v>
      </c>
      <c r="E29" s="132">
        <f>IF('Acquisition Info'!$D$112=0,0,E22/'Acquisition Info'!$D$112)</f>
        <v>0.06004038461538461</v>
      </c>
      <c r="F29" s="132">
        <f>IF('Acquisition Info'!$D$112=0,0,F22/'Acquisition Info'!$D$112)</f>
        <v>0.07361586390532542</v>
      </c>
      <c r="G29" s="132">
        <f>IF('Acquisition Info'!$D$112=0,0,G22/'Acquisition Info'!$D$112)</f>
        <v>0.08761575292899407</v>
      </c>
      <c r="H29" s="132">
        <f>IF('Acquisition Info'!$D$112=0,0,H22/'Acquisition Info'!$D$112)</f>
        <v>0.10205312688550304</v>
      </c>
      <c r="I29" s="132">
        <f>IF('Acquisition Info'!$D$112=0,0,I22/'Acquisition Info'!$D$112)</f>
        <v>0.11694146008807996</v>
      </c>
      <c r="J29" s="132">
        <f>IF('Acquisition Info'!$D$112=0,0,J22/'Acquisition Info'!$D$112)</f>
        <v>0.13229463807465447</v>
      </c>
      <c r="K29" s="132">
        <f>IF('Acquisition Info'!$D$112=0,0,K22/'Acquisition Info'!$D$112)</f>
        <v>0.1481269700845049</v>
      </c>
      <c r="L29" s="132">
        <f>IF('Acquisition Info'!$D$112=0,0,L22/'Acquisition Info'!$D$112)</f>
        <v>0.16445320191200305</v>
      </c>
      <c r="M29" s="156">
        <f>IF('Acquisition Info'!$D$112=0,0,M22/'Acquisition Info'!$D$112)</f>
        <v>0.18128852914882534</v>
      </c>
      <c r="N29" s="130"/>
    </row>
    <row r="30" spans="1:14" ht="19.5" customHeight="1">
      <c r="A30" s="117" t="s">
        <v>108</v>
      </c>
      <c r="B30" s="118" t="s">
        <v>29</v>
      </c>
      <c r="C30" s="119"/>
      <c r="D30" s="120">
        <f>IF('Cash Flow IRR Module Inputs'!$D$11=0,0,D12/'Cash Flow IRR Module Inputs'!$D$11)</f>
        <v>0.08544153846153846</v>
      </c>
      <c r="E30" s="120">
        <f>IF('Cash Flow IRR Module Inputs'!$D$11=0,0,E12/'Cash Flow IRR Module Inputs'!$D$11)</f>
        <v>0.0881796</v>
      </c>
      <c r="F30" s="120">
        <f>IF('Cash Flow IRR Module Inputs'!$D$11=0,0,F12/'Cash Flow IRR Module Inputs'!$D$11)</f>
        <v>0.09100329969230768</v>
      </c>
      <c r="G30" s="120">
        <f>IF('Cash Flow IRR Module Inputs'!$D$11=0,0,G12/'Cash Flow IRR Module Inputs'!$D$11)</f>
        <v>0.09391527660923077</v>
      </c>
      <c r="H30" s="120">
        <f>IF('Cash Flow IRR Module Inputs'!$D$11=0,0,H12/'Cash Flow IRR Module Inputs'!$D$11)</f>
        <v>0.09691825039218463</v>
      </c>
      <c r="I30" s="120">
        <f>IF('Cash Flow IRR Module Inputs'!$D$11=0,0,I12/'Cash Flow IRR Module Inputs'!$D$11)</f>
        <v>0.10001502369832063</v>
      </c>
      <c r="J30" s="120">
        <f>IF('Cash Flow IRR Module Inputs'!$D$11=0,0,J12/'Cash Flow IRR Module Inputs'!$D$11)</f>
        <v>0.10320848471952812</v>
      </c>
      <c r="K30" s="120">
        <f>IF('Cash Flow IRR Module Inputs'!$D$11=0,0,K12/'Cash Flow IRR Module Inputs'!$D$11)</f>
        <v>0.10650160977757701</v>
      </c>
      <c r="L30" s="120">
        <f>IF('Cash Flow IRR Module Inputs'!$D$11=0,0,L12/'Cash Flow IRR Module Inputs'!$D$11)</f>
        <v>0.10989746599769663</v>
      </c>
      <c r="M30" s="155">
        <f>IF('Cash Flow IRR Module Inputs'!$D$11=0,0,M12/'Cash Flow IRR Module Inputs'!$D$11)</f>
        <v>0.11339921406295567</v>
      </c>
      <c r="N30" s="130"/>
    </row>
    <row r="31" spans="1:14" ht="19.5" customHeight="1">
      <c r="A31" s="117" t="s">
        <v>109</v>
      </c>
      <c r="B31" s="118" t="s">
        <v>30</v>
      </c>
      <c r="C31" s="119"/>
      <c r="D31" s="120">
        <f>IF('Acquisition Info'!$D$112=0,0,D24/'Acquisition Info'!$D$112)</f>
        <v>0.06058043786982249</v>
      </c>
      <c r="E31" s="120">
        <f>IF('Acquisition Info'!$D$112=0,0,E24/'Acquisition Info'!$D$112)</f>
        <v>0.06983183136094674</v>
      </c>
      <c r="F31" s="120">
        <f>IF('Acquisition Info'!$D$112=0,0,F24/'Acquisition Info'!$D$112)</f>
        <v>0.07726265360946744</v>
      </c>
      <c r="G31" s="120">
        <f>IF('Acquisition Info'!$D$112=0,0,G24/'Acquisition Info'!$D$112)</f>
        <v>0.08484030225857987</v>
      </c>
      <c r="H31" s="120">
        <f>IF('Acquisition Info'!$D$112=0,0,H24/'Acquisition Info'!$D$112)</f>
        <v>0.09256334776810066</v>
      </c>
      <c r="I31" s="120">
        <f>IF('Acquisition Info'!$D$112=0,0,I24/'Acquisition Info'!$D$112)</f>
        <v>0.10043062401316234</v>
      </c>
      <c r="J31" s="120">
        <f>IF('Acquisition Info'!$D$112=0,0,J24/'Acquisition Info'!$D$112)</f>
        <v>0.10843620669140212</v>
      </c>
      <c r="K31" s="120">
        <f>IF('Acquisition Info'!$D$112=0,0,K24/'Acquisition Info'!$D$112)</f>
        <v>0.11657696593624658</v>
      </c>
      <c r="L31" s="120">
        <f>IF('Acquisition Info'!$D$112=0,0,L24/'Acquisition Info'!$D$112)</f>
        <v>0.12484503042168534</v>
      </c>
      <c r="M31" s="155">
        <f>IF('Acquisition Info'!$D$112=0,0,M24/'Acquisition Info'!$D$112)</f>
        <v>0.13126122805479276</v>
      </c>
      <c r="N31" s="130"/>
    </row>
    <row r="32" spans="1:14" ht="19.5" customHeight="1">
      <c r="A32" s="117" t="s">
        <v>110</v>
      </c>
      <c r="B32" s="118" t="s">
        <v>120</v>
      </c>
      <c r="C32" s="121"/>
      <c r="D32" s="184">
        <f>IF('Cash Flow IRR Module Inputs'!$C$30=8,'Cash Flow Proforma'!D78,IF('Cash Flow IRR Module Inputs'!$C$30=7,'Cash Flow Proforma'!D78,IF('Cash Flow IRR Module Inputs'!$C$30=6,'Cash Flow Proforma'!D78,IF('Cash Flow IRR Module Inputs'!$C$30=5,'Cash Flow Proforma'!D78,IF('Cash Flow IRR Module Inputs'!$C$30=4,'Cash Flow Proforma'!D78,IF('Cash Flow IRR Module Inputs'!$C$30=3,'Cash Flow Proforma'!D78,IF('Cash Flow IRR Module Inputs'!$C$30=0,'Cash Flow Proforma'!D78)))))))</f>
        <v>513457</v>
      </c>
      <c r="E32" s="185">
        <f>IF('Cash Flow IRR Module Inputs'!$C$30=8,'Cash Flow Proforma'!E78,IF('Cash Flow IRR Module Inputs'!$C$30=7,'Cash Flow Proforma'!E78,IF('Cash Flow IRR Module Inputs'!$C$30=6,'Cash Flow Proforma'!E78,IF('Cash Flow IRR Module Inputs'!$C$30=5,'Cash Flow Proforma'!E78,IF('Cash Flow IRR Module Inputs'!$C$30=4,'Cash Flow Proforma'!E78,IF('Cash Flow IRR Module Inputs'!$C$30=3,'Cash Flow Proforma'!E78,IF('Cash Flow IRR Module Inputs'!$C$30=0,'Cash Flow Proforma'!E78)))))))</f>
        <v>506353</v>
      </c>
      <c r="F32" s="185">
        <f>IF('Cash Flow IRR Module Inputs'!$C$30=8,'Cash Flow Proforma'!F78,IF('Cash Flow IRR Module Inputs'!$C$30=7,'Cash Flow Proforma'!F78,IF('Cash Flow IRR Module Inputs'!$C$30=6,'Cash Flow Proforma'!F78,IF('Cash Flow IRR Module Inputs'!$C$30=5,'Cash Flow Proforma'!F78,IF('Cash Flow IRR Module Inputs'!$C$30=4,'Cash Flow Proforma'!F78,IF('Cash Flow IRR Module Inputs'!$C$30=3,'Cash Flow Proforma'!F78,IF('Cash Flow IRR Module Inputs'!$C$30=0,'Cash Flow Proforma'!F78)))))))</f>
        <v>498641</v>
      </c>
      <c r="G32" s="185">
        <f>IF('Cash Flow IRR Module Inputs'!$C$30=8,'Cash Flow Proforma'!G78,IF('Cash Flow IRR Module Inputs'!$C$30=7,'Cash Flow Proforma'!G78,IF('Cash Flow IRR Module Inputs'!$C$30=6,'Cash Flow Proforma'!G78,IF('Cash Flow IRR Module Inputs'!$C$30=5,'Cash Flow Proforma'!G78,IF('Cash Flow IRR Module Inputs'!$C$30=4,'Cash Flow Proforma'!G78,IF('Cash Flow IRR Module Inputs'!$C$30=3,0,IF('Cash Flow IRR Module Inputs'!$C$30=0,'Cash Flow Proforma'!G78)))))))</f>
        <v>490268</v>
      </c>
      <c r="H32" s="185">
        <f>IF('Cash Flow IRR Module Inputs'!$C$30=8,'Cash Flow Proforma'!H78,IF('Cash Flow IRR Module Inputs'!$C$30=7,'Cash Flow Proforma'!H78,IF('Cash Flow IRR Module Inputs'!$C$30=6,'Cash Flow Proforma'!H78,IF('Cash Flow IRR Module Inputs'!$C$30=5,'Cash Flow Proforma'!H78,IF('Cash Flow IRR Module Inputs'!$C$30=4,0,IF('Cash Flow IRR Module Inputs'!$C$30=3,0,IF('Cash Flow IRR Module Inputs'!$C$30=0,'Cash Flow Proforma'!H78)))))))</f>
        <v>481177</v>
      </c>
      <c r="I32" s="185">
        <f>IF('Cash Flow IRR Module Inputs'!$C$30=8,'Cash Flow Proforma'!I78,IF('Cash Flow IRR Module Inputs'!$C$30=7,'Cash Flow Proforma'!I78,IF('Cash Flow IRR Module Inputs'!$C$30=6,'Cash Flow Proforma'!I78,IF('Cash Flow IRR Module Inputs'!$C$30=5,0,IF('Cash Flow IRR Module Inputs'!$C$30=4,0,IF('Cash Flow IRR Module Inputs'!$C$30=3,0,IF('Cash Flow IRR Module Inputs'!$C$30=0,'Cash Flow Proforma'!I78)))))))</f>
        <v>471307</v>
      </c>
      <c r="J32" s="185">
        <f>IF('Cash Flow IRR Module Inputs'!$C$30=8,'Cash Flow Proforma'!J78,IF('Cash Flow IRR Module Inputs'!$C$30=7,'Cash Flow Proforma'!J78,IF('Cash Flow IRR Module Inputs'!$C$30=6,0,IF('Cash Flow IRR Module Inputs'!$C$30=5,0,IF('Cash Flow IRR Module Inputs'!$C$30=4,0,IF('Cash Flow IRR Module Inputs'!$C$30=3,0,IF('Cash Flow IRR Module Inputs'!$C$30=0,'Cash Flow Proforma'!J78)))))))</f>
        <v>460591</v>
      </c>
      <c r="K32" s="122">
        <f>IF('Cash Flow IRR Module Inputs'!$C$30=8,'Cash Flow Proforma'!K78,IF('Cash Flow IRR Module Inputs'!$C$30=7,0,IF('Cash Flow IRR Module Inputs'!$C$30=6,0,IF('Cash Flow IRR Module Inputs'!$C$30=5,0,IF('Cash Flow IRR Module Inputs'!$C$30=4,0,IF('Cash Flow IRR Module Inputs'!$C$30=3,0,IF('Cash Flow IRR Module Inputs'!$C$30=0,'Cash Flow Proforma'!K78)))))))</f>
        <v>448957</v>
      </c>
      <c r="L32" s="122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Inputs'!$C$30=0,'Cash Flow Proforma'!L78)))))))</f>
        <v>436326</v>
      </c>
      <c r="M32" s="123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Inputs'!$C$30=0,'Cash Flow Proforma'!M78)))))))</f>
        <v>422613</v>
      </c>
      <c r="N32" s="130"/>
    </row>
    <row r="33" spans="1:14" ht="19.5" customHeight="1">
      <c r="A33" s="117" t="s">
        <v>111</v>
      </c>
      <c r="B33" s="118" t="s">
        <v>47</v>
      </c>
      <c r="C33" s="121"/>
      <c r="D33" s="184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E33" s="185">
        <f>IF('Cash Flow IRR Module Inputs'!$C$30=8,0,IF('Cash Flow IRR Module Inputs'!$C$30=7,0,IF('Cash Flow IRR Module Inputs'!$C$30=6,0,IF('Cash Flow IRR Module Inputs'!$C$30=5,0,IF('Cash Flow IRR Module Inputs'!$C$30=4,0,IF('Cash Flow IRR Module Inputs'!$C$30=3,0,IF('Cash Flow IRR Module Inputs'!$C$30=0,0)))))))</f>
        <v>0</v>
      </c>
      <c r="F33" s="185">
        <f>IF('Cash Flow IRR Module Inputs'!$C$30=8,0,IF('Cash Flow IRR Module Inputs'!$C$30=7,0,IF('Cash Flow IRR Module Inputs'!$C$30=6,0,IF('Cash Flow IRR Module Inputs'!$C$30=5,0,IF('Cash Flow IRR Module Inputs'!$C$30=4,0,IF('Cash Flow IRR Module Inputs'!$C$30=3,F87,IF('Cash Flow IRR Module Inputs'!$C$30=0,0)))))))</f>
        <v>0</v>
      </c>
      <c r="G33" s="185">
        <f>IF('Cash Flow IRR Module Inputs'!$C$30=8,0,IF('Cash Flow IRR Module Inputs'!$C$30=7,0,IF('Cash Flow IRR Module Inputs'!$C$30=6,0,IF('Cash Flow IRR Module Inputs'!$C$30=5,0,IF('Cash Flow IRR Module Inputs'!$C$30=4,G87,IF('Cash Flow IRR Module Inputs'!$C$30=3,G105,IF('Cash Flow IRR Module Inputs'!$C$30=0,0)))))))</f>
        <v>0</v>
      </c>
      <c r="H33" s="185">
        <f>IF('Cash Flow IRR Module Inputs'!$C$30=8,0,IF('Cash Flow IRR Module Inputs'!$C$30=7,0,IF('Cash Flow IRR Module Inputs'!$C$30=6,0,IF('Cash Flow IRR Module Inputs'!$C$30=5,H87,IF('Cash Flow IRR Module Inputs'!$C$30=4,H112,IF('Cash Flow IRR Module Inputs'!$C$30=3,H105,IF('Cash Flow IRR Module Inputs'!$C$30=0,0)))))))</f>
        <v>0</v>
      </c>
      <c r="I33" s="185">
        <f>IF('Cash Flow IRR Module Inputs'!$C$30=8,0,IF('Cash Flow IRR Module Inputs'!$C$30=7,0,IF('Cash Flow IRR Module Inputs'!$C$30=6,I87,IF('Cash Flow IRR Module Inputs'!$C$30=5,I119,IF('Cash Flow IRR Module Inputs'!$C$30=4,I112,IF('Cash Flow IRR Module Inputs'!$C$30=3,I105,IF('Cash Flow IRR Module Inputs'!$C$30=0,0)))))))</f>
        <v>0</v>
      </c>
      <c r="J33" s="185">
        <f>IF('Cash Flow IRR Module Inputs'!$C$30=8,0,IF('Cash Flow IRR Module Inputs'!$C$30=7,J87,IF('Cash Flow IRR Module Inputs'!$C$30=6,J126,IF('Cash Flow IRR Module Inputs'!$C$30=5,J119,IF('Cash Flow IRR Module Inputs'!$C$30=4,J112,IF('Cash Flow IRR Module Inputs'!$C$30=3,J105,IF('Cash Flow IRR Module Inputs'!$C$30=0,0)))))))</f>
        <v>0</v>
      </c>
      <c r="K33" s="122">
        <f>IF('Cash Flow IRR Module Inputs'!$C$30=8,K87,IF('Cash Flow IRR Module Inputs'!$C$30=7,K133,IF('Cash Flow IRR Module Inputs'!$C$30=6,K126,IF('Cash Flow IRR Module Inputs'!$C$30=5,K119,IF('Cash Flow IRR Module Inputs'!$C$30=4,K112,IF('Cash Flow IRR Module Inputs'!$C$30=3,K105,IF('Cash Flow IRR Module Inputs'!$C$30=0,0)))))))</f>
        <v>0</v>
      </c>
      <c r="L33" s="122">
        <f>IF('Cash Flow IRR Module Inputs'!$C$30=8,L140,IF('Cash Flow IRR Module Inputs'!$C$30=7,L133,IF('Cash Flow IRR Module Inputs'!$C$30=6,L126,IF('Cash Flow IRR Module Inputs'!$C$30=5,L119,IF('Cash Flow IRR Module Inputs'!$C$30=4,L112,IF('Cash Flow IRR Module Inputs'!$C$30=3,L105,IF('Cash Flow IRR Module Inputs'!$C$30=0,0)))))))</f>
        <v>0</v>
      </c>
      <c r="M33" s="123">
        <f>IF('Cash Flow IRR Module Inputs'!$C$30=8,M140,IF('Cash Flow IRR Module Inputs'!$C$30=7,M133,IF('Cash Flow IRR Module Inputs'!$C$30=6,M126,IF('Cash Flow IRR Module Inputs'!$C$30=5,M119,IF('Cash Flow IRR Module Inputs'!$C$30=4,M112,IF('Cash Flow IRR Module Inputs'!$C$30=3,M105,IF('Cash Flow IRR Module Inputs'!$C$30=0,0)))))))</f>
        <v>0</v>
      </c>
      <c r="N33" s="130"/>
    </row>
    <row r="34" spans="1:14" ht="19.5" customHeight="1">
      <c r="A34" s="117" t="s">
        <v>112</v>
      </c>
      <c r="B34" s="118" t="s">
        <v>141</v>
      </c>
      <c r="C34" s="121"/>
      <c r="D34" s="186">
        <f>IF('Acquisition Info'!$D$65=0,0,E12/'Acquisition Info'!$D$65)</f>
        <v>670829.915191674</v>
      </c>
      <c r="E34" s="186">
        <f>IF('Acquisition Info'!$D$65=0,0,F12/'Acquisition Info'!$D$65)</f>
        <v>692311.3261429317</v>
      </c>
      <c r="F34" s="186">
        <f>IF('Acquisition Info'!$D$65=0,0,G12/'Acquisition Info'!$D$65)</f>
        <v>714464.3096926373</v>
      </c>
      <c r="G34" s="186">
        <f>IF('Acquisition Info'!$D$65=0,0,H12/'Acquisition Info'!$D$65)</f>
        <v>737309.5556241426</v>
      </c>
      <c r="H34" s="186">
        <f>IF('Acquisition Info'!$D$65=0,0,I12/'Acquisition Info'!$D$65)</f>
        <v>760868.3852664074</v>
      </c>
      <c r="I34" s="186">
        <f>IF('Acquisition Info'!$D$65=0,0,J12/'Acquisition Info'!$D$65)</f>
        <v>785162.770657411</v>
      </c>
      <c r="J34" s="186">
        <f>IF('Acquisition Info'!$D$65=0,0,K12/'Acquisition Info'!$D$65)</f>
        <v>810215.354286805</v>
      </c>
      <c r="K34" s="141">
        <f>IF('Acquisition Info'!$D$65=0,0,L12/'Acquisition Info'!$D$65)</f>
        <v>836049.4694352743</v>
      </c>
      <c r="L34" s="141">
        <f>IF('Acquisition Info'!$D$65=0,0,M12/'Acquisition Info'!$D$65)</f>
        <v>862689.1611285949</v>
      </c>
      <c r="M34" s="157">
        <f>IF('Acquisition Info'!$D$65=0,0,N12/'Acquisition Info'!$D$65)</f>
        <v>890159.20772492</v>
      </c>
      <c r="N34" s="130"/>
    </row>
    <row r="35" spans="1:14" ht="19.5" customHeight="1">
      <c r="A35" s="142" t="s">
        <v>113</v>
      </c>
      <c r="B35" s="143"/>
      <c r="C35" s="144"/>
      <c r="D35" s="145"/>
      <c r="E35" s="146"/>
      <c r="F35" s="146"/>
      <c r="G35" s="146"/>
      <c r="H35" s="146"/>
      <c r="I35" s="146"/>
      <c r="J35" s="146"/>
      <c r="K35" s="146"/>
      <c r="L35" s="146"/>
      <c r="M35" s="147"/>
      <c r="N35" s="130"/>
    </row>
    <row r="36" spans="1:14" ht="19.5" customHeight="1" thickBot="1">
      <c r="A36" s="148" t="s">
        <v>114</v>
      </c>
      <c r="B36" s="149"/>
      <c r="C36" s="150"/>
      <c r="D36" s="151"/>
      <c r="E36" s="152"/>
      <c r="F36" s="152"/>
      <c r="G36" s="152"/>
      <c r="H36" s="152"/>
      <c r="I36" s="152"/>
      <c r="J36" s="152"/>
      <c r="K36" s="152"/>
      <c r="L36" s="152"/>
      <c r="M36" s="153"/>
      <c r="N36" s="131"/>
    </row>
    <row r="37" spans="3:13" ht="16.5" thickTop="1"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ht="15.75">
      <c r="C38" s="1"/>
    </row>
    <row r="39" ht="15.75">
      <c r="C39" s="1"/>
    </row>
    <row r="45" spans="4:13" ht="15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3" ht="15"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72" spans="2:13" ht="15">
      <c r="B72" s="11"/>
      <c r="C72" s="12"/>
      <c r="D72" s="9">
        <f>D76-(B74-D78)</f>
        <v>42656.28</v>
      </c>
      <c r="E72" s="8">
        <f>E76-(D78-E78)</f>
        <v>42095.28</v>
      </c>
      <c r="F72" s="8">
        <f aca="true" t="shared" si="12" ref="F72:M72">F76-(E78-F78)</f>
        <v>41487.28</v>
      </c>
      <c r="G72" s="8">
        <f t="shared" si="12"/>
        <v>40826.28</v>
      </c>
      <c r="H72" s="8">
        <f t="shared" si="12"/>
        <v>40108.28</v>
      </c>
      <c r="I72" s="8">
        <f t="shared" si="12"/>
        <v>39329.28</v>
      </c>
      <c r="J72" s="8">
        <f t="shared" si="12"/>
        <v>38483.28</v>
      </c>
      <c r="K72" s="8">
        <f t="shared" si="12"/>
        <v>37565.28</v>
      </c>
      <c r="L72" s="8">
        <f t="shared" si="12"/>
        <v>36568.28</v>
      </c>
      <c r="M72" s="8">
        <f t="shared" si="12"/>
        <v>35486.28</v>
      </c>
    </row>
    <row r="73" spans="2:13" ht="15">
      <c r="B73" s="43" t="s">
        <v>116</v>
      </c>
      <c r="C73" s="44"/>
      <c r="D73" s="45"/>
      <c r="E73" s="43"/>
      <c r="F73" s="43"/>
      <c r="G73" s="43"/>
      <c r="H73" s="43"/>
      <c r="I73" s="43"/>
      <c r="J73" s="43"/>
      <c r="K73" s="43"/>
      <c r="L73" s="43"/>
      <c r="M73" s="43"/>
    </row>
    <row r="74" spans="2:13" ht="15">
      <c r="B74" s="8">
        <f>IF('Cash Flow IRR Module Inputs'!C23=0,0,ROUND(IF('Cash Flow IRR Module Inputs'!C23&gt;100,'Cash Flow IRR Module Inputs'!C23,IF('Cash Flow IRR Module Inputs'!C23&lt;10,-PV('Cash Flow IRR Module Inputs'!C24/'Cash Flow IRR Module Inputs'!C27,'Cash Flow IRR Module Inputs'!C25*'Cash Flow IRR Module Inputs'!C27,('Cash Flow Proforma'!D12/'Cash Flow IRR Module Inputs'!C23)/'Cash Flow IRR Module Inputs'!C27,0,0),'Cash Flow IRR Module Inputs'!C23*'Cash Flow IRR Module Inputs'!D11/100)),0))</f>
        <v>520000</v>
      </c>
      <c r="C74" s="46"/>
      <c r="D74" s="10"/>
      <c r="E74" s="7"/>
      <c r="F74" s="7"/>
      <c r="G74" s="7"/>
      <c r="H74" s="7"/>
      <c r="I74" s="7"/>
      <c r="J74" s="7"/>
      <c r="K74" s="7"/>
      <c r="L74" s="7"/>
      <c r="M74" s="7"/>
    </row>
    <row r="75" spans="2:13" ht="15">
      <c r="B75" s="42" t="s">
        <v>62</v>
      </c>
      <c r="C75" s="47"/>
      <c r="D75" s="138">
        <f>IF('Cash Flow IRR Module Inputs'!C25=0,0,ROUND(PMT('Cash Flow IRR Module Inputs'!C24/'Cash Flow IRR Module Inputs'!C27,'Cash Flow IRR Module Inputs'!C25*'Cash Flow IRR Module Inputs'!C27,-B74,0,0),2))</f>
        <v>4099.94</v>
      </c>
      <c r="E75" s="139">
        <f>D75</f>
        <v>4099.94</v>
      </c>
      <c r="F75" s="139">
        <f aca="true" t="shared" si="13" ref="F75:M75">E75</f>
        <v>4099.94</v>
      </c>
      <c r="G75" s="139">
        <f t="shared" si="13"/>
        <v>4099.94</v>
      </c>
      <c r="H75" s="139">
        <f t="shared" si="13"/>
        <v>4099.94</v>
      </c>
      <c r="I75" s="139">
        <f t="shared" si="13"/>
        <v>4099.94</v>
      </c>
      <c r="J75" s="139">
        <f t="shared" si="13"/>
        <v>4099.94</v>
      </c>
      <c r="K75" s="139">
        <f t="shared" si="13"/>
        <v>4099.94</v>
      </c>
      <c r="L75" s="139">
        <f t="shared" si="13"/>
        <v>4099.94</v>
      </c>
      <c r="M75" s="139">
        <f t="shared" si="13"/>
        <v>4099.94</v>
      </c>
    </row>
    <row r="76" spans="2:13" ht="15">
      <c r="B76" s="7" t="s">
        <v>61</v>
      </c>
      <c r="C76" s="47"/>
      <c r="D76" s="9">
        <f>D75*'Cash Flow IRR Module Inputs'!C27</f>
        <v>49199.28</v>
      </c>
      <c r="E76" s="8">
        <f>D76</f>
        <v>49199.28</v>
      </c>
      <c r="F76" s="8">
        <f aca="true" t="shared" si="14" ref="F76:M76">E76</f>
        <v>49199.28</v>
      </c>
      <c r="G76" s="8">
        <f t="shared" si="14"/>
        <v>49199.28</v>
      </c>
      <c r="H76" s="8">
        <f t="shared" si="14"/>
        <v>49199.28</v>
      </c>
      <c r="I76" s="8">
        <f t="shared" si="14"/>
        <v>49199.28</v>
      </c>
      <c r="J76" s="8">
        <f t="shared" si="14"/>
        <v>49199.28</v>
      </c>
      <c r="K76" s="8">
        <f t="shared" si="14"/>
        <v>49199.28</v>
      </c>
      <c r="L76" s="8">
        <f t="shared" si="14"/>
        <v>49199.28</v>
      </c>
      <c r="M76" s="8">
        <f t="shared" si="14"/>
        <v>49199.28</v>
      </c>
    </row>
    <row r="77" spans="2:13" ht="15">
      <c r="B77" s="7" t="s">
        <v>59</v>
      </c>
      <c r="C77" s="47"/>
      <c r="D77" s="9">
        <f>D76-(B74-D78)</f>
        <v>42656.28</v>
      </c>
      <c r="E77" s="9">
        <f>E76-(D78-E78)</f>
        <v>42095.28</v>
      </c>
      <c r="F77" s="9">
        <f aca="true" t="shared" si="15" ref="F77:M77">F76-(E78-F78)</f>
        <v>41487.28</v>
      </c>
      <c r="G77" s="9">
        <f t="shared" si="15"/>
        <v>40826.28</v>
      </c>
      <c r="H77" s="9">
        <f t="shared" si="15"/>
        <v>40108.28</v>
      </c>
      <c r="I77" s="9">
        <f t="shared" si="15"/>
        <v>39329.28</v>
      </c>
      <c r="J77" s="9">
        <f t="shared" si="15"/>
        <v>38483.28</v>
      </c>
      <c r="K77" s="9">
        <f t="shared" si="15"/>
        <v>37565.28</v>
      </c>
      <c r="L77" s="9">
        <f t="shared" si="15"/>
        <v>36568.28</v>
      </c>
      <c r="M77" s="9">
        <f t="shared" si="15"/>
        <v>35486.28</v>
      </c>
    </row>
    <row r="78" spans="2:13" ht="15">
      <c r="B78" s="7" t="s">
        <v>60</v>
      </c>
      <c r="C78" s="47"/>
      <c r="D78" s="9">
        <f>ROUND(FV('Cash Flow IRR Module Inputs'!$C$24/'Cash Flow IRR Module Inputs'!$C$27,D85*'Cash Flow IRR Module Inputs'!$C$27,$D$75,-$B$74,0),0)</f>
        <v>513457</v>
      </c>
      <c r="E78" s="9">
        <f>ROUND(FV('Cash Flow IRR Module Inputs'!$C$24/'Cash Flow IRR Module Inputs'!$C$27,E85*'Cash Flow IRR Module Inputs'!$C$27,$D$75,-$B$74,0),0)</f>
        <v>506353</v>
      </c>
      <c r="F78" s="9">
        <f>ROUND(FV('Cash Flow IRR Module Inputs'!$C$24/'Cash Flow IRR Module Inputs'!$C$27,F85*'Cash Flow IRR Module Inputs'!$C$27,$D$75,-$B$74,0),0)</f>
        <v>498641</v>
      </c>
      <c r="G78" s="9">
        <f>ROUND(FV('Cash Flow IRR Module Inputs'!$C$24/'Cash Flow IRR Module Inputs'!$C$27,G85*'Cash Flow IRR Module Inputs'!$C$27,$D$75,-$B$74,0),0)</f>
        <v>490268</v>
      </c>
      <c r="H78" s="9">
        <f>ROUND(FV('Cash Flow IRR Module Inputs'!$C$24/'Cash Flow IRR Module Inputs'!$C$27,H85*'Cash Flow IRR Module Inputs'!$C$27,$D$75,-$B$74,0),0)</f>
        <v>481177</v>
      </c>
      <c r="I78" s="9">
        <f>ROUND(FV('Cash Flow IRR Module Inputs'!$C$24/'Cash Flow IRR Module Inputs'!$C$27,I85*'Cash Flow IRR Module Inputs'!$C$27,$D$75,-$B$74,0),0)</f>
        <v>471307</v>
      </c>
      <c r="J78" s="9">
        <f>ROUND(FV('Cash Flow IRR Module Inputs'!$C$24/'Cash Flow IRR Module Inputs'!$C$27,J85*'Cash Flow IRR Module Inputs'!$C$27,$D$75,-$B$74,0),0)</f>
        <v>460591</v>
      </c>
      <c r="K78" s="9">
        <f>ROUND(FV('Cash Flow IRR Module Inputs'!$C$24/'Cash Flow IRR Module Inputs'!$C$27,K85*'Cash Flow IRR Module Inputs'!$C$27,$D$75,-$B$74,0),0)</f>
        <v>448957</v>
      </c>
      <c r="L78" s="9">
        <f>ROUND(FV('Cash Flow IRR Module Inputs'!$C$24/'Cash Flow IRR Module Inputs'!$C$27,L85*'Cash Flow IRR Module Inputs'!$C$27,$D$75,-$B$74,0),0)</f>
        <v>436326</v>
      </c>
      <c r="M78" s="9">
        <f>ROUND(FV('Cash Flow IRR Module Inputs'!$C$24/'Cash Flow IRR Module Inputs'!$C$27,M85*'Cash Flow IRR Module Inputs'!$C$27,$D$75,-$B$74,0),0)</f>
        <v>422613</v>
      </c>
    </row>
    <row r="79" spans="2:13" ht="15">
      <c r="B79" s="7" t="s">
        <v>57</v>
      </c>
      <c r="C79" s="46"/>
      <c r="D79" s="9">
        <f>ROUND(IF('Cash Flow IRR Module Inputs'!C28&lt;20,('Cash Flow Proforma'!B74*'Cash Flow IRR Module Inputs'!C28)/100,'Cash Flow IRR Module Inputs'!C28),0)</f>
        <v>5200</v>
      </c>
      <c r="E79" s="8">
        <f>D81</f>
        <v>4992</v>
      </c>
      <c r="F79" s="8">
        <f aca="true" t="shared" si="16" ref="F79:M79">E81</f>
        <v>4784</v>
      </c>
      <c r="G79" s="8">
        <f t="shared" si="16"/>
        <v>4576</v>
      </c>
      <c r="H79" s="8">
        <f t="shared" si="16"/>
        <v>4368</v>
      </c>
      <c r="I79" s="8">
        <f t="shared" si="16"/>
        <v>4160</v>
      </c>
      <c r="J79" s="8">
        <f t="shared" si="16"/>
        <v>3952</v>
      </c>
      <c r="K79" s="8">
        <f t="shared" si="16"/>
        <v>3744</v>
      </c>
      <c r="L79" s="8">
        <f t="shared" si="16"/>
        <v>3536</v>
      </c>
      <c r="M79" s="8">
        <f t="shared" si="16"/>
        <v>3328</v>
      </c>
    </row>
    <row r="80" spans="2:13" ht="15">
      <c r="B80" s="7" t="s">
        <v>118</v>
      </c>
      <c r="C80" s="46"/>
      <c r="D80" s="9">
        <f>ROUND(D79/'Cash Flow IRR Module Inputs'!C34,0)</f>
        <v>208</v>
      </c>
      <c r="E80" s="8">
        <f>D80</f>
        <v>208</v>
      </c>
      <c r="F80" s="8">
        <f aca="true" t="shared" si="17" ref="F80:M80">E80</f>
        <v>208</v>
      </c>
      <c r="G80" s="8">
        <f t="shared" si="17"/>
        <v>208</v>
      </c>
      <c r="H80" s="8">
        <f t="shared" si="17"/>
        <v>208</v>
      </c>
      <c r="I80" s="8">
        <f t="shared" si="17"/>
        <v>208</v>
      </c>
      <c r="J80" s="8">
        <f t="shared" si="17"/>
        <v>208</v>
      </c>
      <c r="K80" s="8">
        <f t="shared" si="17"/>
        <v>208</v>
      </c>
      <c r="L80" s="8">
        <f t="shared" si="17"/>
        <v>208</v>
      </c>
      <c r="M80" s="8">
        <f t="shared" si="17"/>
        <v>208</v>
      </c>
    </row>
    <row r="81" spans="2:13" ht="15">
      <c r="B81" s="7" t="s">
        <v>68</v>
      </c>
      <c r="C81" s="46"/>
      <c r="D81" s="9">
        <f>D79-D80</f>
        <v>4992</v>
      </c>
      <c r="E81" s="8">
        <f aca="true" t="shared" si="18" ref="E81:M81">E79-E80</f>
        <v>4784</v>
      </c>
      <c r="F81" s="8">
        <f t="shared" si="18"/>
        <v>4576</v>
      </c>
      <c r="G81" s="8">
        <f t="shared" si="18"/>
        <v>4368</v>
      </c>
      <c r="H81" s="8">
        <f t="shared" si="18"/>
        <v>4160</v>
      </c>
      <c r="I81" s="8">
        <f t="shared" si="18"/>
        <v>3952</v>
      </c>
      <c r="J81" s="8">
        <f t="shared" si="18"/>
        <v>3744</v>
      </c>
      <c r="K81" s="8">
        <f t="shared" si="18"/>
        <v>3536</v>
      </c>
      <c r="L81" s="8">
        <f t="shared" si="18"/>
        <v>3328</v>
      </c>
      <c r="M81" s="8">
        <f t="shared" si="18"/>
        <v>3120</v>
      </c>
    </row>
    <row r="82" spans="2:13" ht="15">
      <c r="B82" s="11"/>
      <c r="C82" s="12"/>
      <c r="D82" s="9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11"/>
      <c r="C83" s="12"/>
      <c r="D83" s="13"/>
      <c r="E83" s="11"/>
      <c r="F83" s="11"/>
      <c r="G83" s="11"/>
      <c r="H83" s="11"/>
      <c r="I83" s="11"/>
      <c r="J83" s="11"/>
      <c r="K83" s="11"/>
      <c r="L83" s="11"/>
      <c r="M83" s="11"/>
    </row>
    <row r="84" spans="2:13" ht="15">
      <c r="B84" s="7" t="s">
        <v>117</v>
      </c>
      <c r="C84" s="12"/>
      <c r="D84" s="13"/>
      <c r="E84" s="11"/>
      <c r="F84" s="11"/>
      <c r="G84" s="11"/>
      <c r="H84" s="11"/>
      <c r="I84" s="11"/>
      <c r="J84" s="11"/>
      <c r="K84" s="11"/>
      <c r="L84" s="11"/>
      <c r="M84" s="11"/>
    </row>
    <row r="85" spans="2:13" ht="15">
      <c r="B85" s="40"/>
      <c r="C85" s="12"/>
      <c r="D85" s="24">
        <v>1</v>
      </c>
      <c r="E85" s="22">
        <v>2</v>
      </c>
      <c r="F85" s="22">
        <v>3</v>
      </c>
      <c r="G85" s="22">
        <v>4</v>
      </c>
      <c r="H85" s="22">
        <v>5</v>
      </c>
      <c r="I85" s="22">
        <v>6</v>
      </c>
      <c r="J85" s="22">
        <v>7</v>
      </c>
      <c r="K85" s="22">
        <v>8</v>
      </c>
      <c r="L85" s="22">
        <v>9</v>
      </c>
      <c r="M85" s="22">
        <v>10</v>
      </c>
    </row>
    <row r="86" spans="2:13" ht="15">
      <c r="B86" s="43" t="s">
        <v>119</v>
      </c>
      <c r="C86" s="12"/>
      <c r="D86" s="9">
        <f>-((D87-E92)-D78)</f>
        <v>513457</v>
      </c>
      <c r="E86" s="8">
        <f>-((E87-F99)-E78)</f>
        <v>506353</v>
      </c>
      <c r="F86" s="8">
        <f>-((F87-G106)-F78)</f>
        <v>498641</v>
      </c>
      <c r="G86" s="8">
        <f>-((G87-H113)-G78)</f>
        <v>490268</v>
      </c>
      <c r="H86" s="8">
        <f>-((H87-I120)-H78)</f>
        <v>481177</v>
      </c>
      <c r="I86" s="8">
        <f>-((I87-J127)-I78)</f>
        <v>471307</v>
      </c>
      <c r="J86" s="8">
        <f>-((J87-K134)-J78)</f>
        <v>460591</v>
      </c>
      <c r="K86" s="8">
        <f>-((K87-L141)-K78)</f>
        <v>448957</v>
      </c>
      <c r="L86" s="8">
        <f>-((L87-M148)-L78)</f>
        <v>436326</v>
      </c>
      <c r="M86" s="8"/>
    </row>
    <row r="87" spans="2:13" ht="15">
      <c r="B87" s="43" t="s">
        <v>130</v>
      </c>
      <c r="C87" s="12"/>
      <c r="D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Inputs'!$C$35,(E12/'Cash Flow IRR Module Inputs'!$C$31)/'Cash Flow IRR Module Inputs'!$C$35,0,0),'Cash Flow IRR Module Inputs'!$C$31*D34/100)),0))</f>
        <v>0</v>
      </c>
      <c r="E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Inputs'!$C$35,(F12/'Cash Flow IRR Module Inputs'!$C$31)/'Cash Flow IRR Module Inputs'!$C$35,0,0),'Cash Flow IRR Module Inputs'!$C$31*E34/100)),0))</f>
        <v>0</v>
      </c>
      <c r="F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Inputs'!$C$35,(G12/'Cash Flow IRR Module Inputs'!$C$31)/'Cash Flow IRR Module Inputs'!$C$35,0,0),'Cash Flow IRR Module Inputs'!$C$31*F34/100)),0))</f>
        <v>0</v>
      </c>
      <c r="G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Inputs'!$C$35,(H12/'Cash Flow IRR Module Inputs'!$C$31)/'Cash Flow IRR Module Inputs'!$C$35,0,0),'Cash Flow IRR Module Inputs'!$C$31*G34/100)),0))</f>
        <v>0</v>
      </c>
      <c r="H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Inputs'!$C$35,(I12/'Cash Flow IRR Module Inputs'!$C$31)/'Cash Flow IRR Module Inputs'!$C$35,0,0),'Cash Flow IRR Module Inputs'!$C$31*H34/100)),0))</f>
        <v>0</v>
      </c>
      <c r="I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Inputs'!$C$35,(J12/'Cash Flow IRR Module Inputs'!$C$31)/'Cash Flow IRR Module Inputs'!$C$35,0,0),'Cash Flow IRR Module Inputs'!$C$31*I34/100)),0))</f>
        <v>0</v>
      </c>
      <c r="J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Inputs'!$C$35,(K12/'Cash Flow IRR Module Inputs'!$C$31)/'Cash Flow IRR Module Inputs'!$C$35,0,0),'Cash Flow IRR Module Inputs'!$C$31*J34/100)),0))</f>
        <v>0</v>
      </c>
      <c r="K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Inputs'!$C$35,(L12/'Cash Flow IRR Module Inputs'!$C$31)/'Cash Flow IRR Module Inputs'!$C$35,0,0),'Cash Flow IRR Module Inputs'!$C$31*K34/100)),0))</f>
        <v>0</v>
      </c>
      <c r="L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Inputs'!$C$35,(M12/'Cash Flow IRR Module Inputs'!$C$31)/'Cash Flow IRR Module Inputs'!$C$35,0,0),'Cash Flow IRR Module Inputs'!$C$31*L34/100)),0))</f>
        <v>0</v>
      </c>
      <c r="M87" s="9">
        <f>IF('Cash Flow IRR Module Inputs'!$C$31=0,0,ROUND(IF('Cash Flow IRR Module Inputs'!$C$31&gt;100,'Cash Flow IRR Module Inputs'!$C$31,IF('Cash Flow IRR Module Inputs'!$C$31&lt;10,-PV('Cash Flow IRR Module Inputs'!$C$32/'Cash Flow IRR Module Inputs'!$C$35,'Cash Flow IRR Module Inputs'!$C$33*'Cash Flow IRR Module Inputs'!$C$35,(N12/'Cash Flow IRR Module Inputs'!$C$31)/'Cash Flow IRR Module Inputs'!$C$35,0,0),'Cash Flow IRR Module Inputs'!$C$31*M34/100)),0))</f>
        <v>0</v>
      </c>
    </row>
    <row r="88" spans="2:13" ht="15">
      <c r="B88" s="41"/>
      <c r="C88" s="12"/>
      <c r="D88" s="10" t="s">
        <v>62</v>
      </c>
      <c r="E88" s="8">
        <f>ROUND(PMT('Cash Flow IRR Module Inputs'!C32/'Cash Flow IRR Module Inputs'!C35,'Cash Flow IRR Module Inputs'!C33*'Cash Flow IRR Module Inputs'!C35,-D87,0,0),2)</f>
        <v>0</v>
      </c>
      <c r="F88" s="8">
        <f>E88</f>
        <v>0</v>
      </c>
      <c r="G88" s="8">
        <f aca="true" t="shared" si="19" ref="G88:M88">F88</f>
        <v>0</v>
      </c>
      <c r="H88" s="8">
        <f t="shared" si="19"/>
        <v>0</v>
      </c>
      <c r="I88" s="8">
        <f t="shared" si="19"/>
        <v>0</v>
      </c>
      <c r="J88" s="8">
        <f t="shared" si="19"/>
        <v>0</v>
      </c>
      <c r="K88" s="8">
        <f t="shared" si="19"/>
        <v>0</v>
      </c>
      <c r="L88" s="8">
        <f t="shared" si="19"/>
        <v>0</v>
      </c>
      <c r="M88" s="8">
        <f t="shared" si="19"/>
        <v>0</v>
      </c>
    </row>
    <row r="89" spans="2:13" ht="15">
      <c r="B89" s="41"/>
      <c r="C89" s="12"/>
      <c r="D89" s="10" t="s">
        <v>61</v>
      </c>
      <c r="E89" s="8">
        <f>E88*'Cash Flow IRR Module Inputs'!C35</f>
        <v>0</v>
      </c>
      <c r="F89" s="8">
        <f>E89</f>
        <v>0</v>
      </c>
      <c r="G89" s="8">
        <f aca="true" t="shared" si="20" ref="G89:M89">F89</f>
        <v>0</v>
      </c>
      <c r="H89" s="8">
        <f t="shared" si="20"/>
        <v>0</v>
      </c>
      <c r="I89" s="8">
        <f t="shared" si="20"/>
        <v>0</v>
      </c>
      <c r="J89" s="8">
        <f t="shared" si="20"/>
        <v>0</v>
      </c>
      <c r="K89" s="8">
        <f t="shared" si="20"/>
        <v>0</v>
      </c>
      <c r="L89" s="8">
        <f t="shared" si="20"/>
        <v>0</v>
      </c>
      <c r="M89" s="8">
        <f t="shared" si="20"/>
        <v>0</v>
      </c>
    </row>
    <row r="90" spans="2:13" ht="15">
      <c r="B90" s="41"/>
      <c r="C90" s="12"/>
      <c r="D90" s="10" t="s">
        <v>59</v>
      </c>
      <c r="E90" s="8">
        <f>E89-(D87-E91)</f>
        <v>0</v>
      </c>
      <c r="F90" s="8">
        <f>F89-(E91-F91)</f>
        <v>0</v>
      </c>
      <c r="G90" s="8">
        <f aca="true" t="shared" si="21" ref="G90:M90">G89-(F91-G91)</f>
        <v>0</v>
      </c>
      <c r="H90" s="8">
        <f t="shared" si="21"/>
        <v>0</v>
      </c>
      <c r="I90" s="8">
        <f t="shared" si="21"/>
        <v>0</v>
      </c>
      <c r="J90" s="8">
        <f t="shared" si="21"/>
        <v>0</v>
      </c>
      <c r="K90" s="8">
        <f t="shared" si="21"/>
        <v>0</v>
      </c>
      <c r="L90" s="8">
        <f t="shared" si="21"/>
        <v>0</v>
      </c>
      <c r="M90" s="8">
        <f t="shared" si="21"/>
        <v>0</v>
      </c>
    </row>
    <row r="91" spans="2:13" ht="15">
      <c r="B91" s="41"/>
      <c r="C91" s="12"/>
      <c r="D91" s="10" t="s">
        <v>60</v>
      </c>
      <c r="E91" s="8">
        <f>ROUND(FV('Cash Flow IRR Module Inputs'!$C$32/'Cash Flow IRR Module Inputs'!$C$35,D85*'Cash Flow IRR Module Inputs'!$C$35,$E$88,-$D$87,0),0)</f>
        <v>0</v>
      </c>
      <c r="F91" s="8">
        <f>ROUND(FV('Cash Flow IRR Module Inputs'!$C$32/'Cash Flow IRR Module Inputs'!$C$35,E85*'Cash Flow IRR Module Inputs'!$C$35,$E$88,-$D$87,0),0)</f>
        <v>0</v>
      </c>
      <c r="G91" s="8">
        <f>ROUND(FV('Cash Flow IRR Module Inputs'!$C$32/'Cash Flow IRR Module Inputs'!$C$35,F85*'Cash Flow IRR Module Inputs'!$C$35,$E$88,-$D$87,0),0)</f>
        <v>0</v>
      </c>
      <c r="H91" s="8">
        <f>ROUND(FV('Cash Flow IRR Module Inputs'!$C$32/'Cash Flow IRR Module Inputs'!$C$35,G85*'Cash Flow IRR Module Inputs'!$C$35,$E$88,-$D$87,0),0)</f>
        <v>0</v>
      </c>
      <c r="I91" s="8">
        <f>ROUND(FV('Cash Flow IRR Module Inputs'!$C$32/'Cash Flow IRR Module Inputs'!$C$35,H85*'Cash Flow IRR Module Inputs'!$C$35,$E$88,-$D$87,0),0)</f>
        <v>0</v>
      </c>
      <c r="J91" s="8">
        <f>ROUND(FV('Cash Flow IRR Module Inputs'!$C$32/'Cash Flow IRR Module Inputs'!$C$35,I85*'Cash Flow IRR Module Inputs'!$C$35,$E$88,-$D$87,0),0)</f>
        <v>0</v>
      </c>
      <c r="K91" s="8">
        <f>ROUND(FV('Cash Flow IRR Module Inputs'!$C$32/'Cash Flow IRR Module Inputs'!$C$35,J85*'Cash Flow IRR Module Inputs'!$C$35,$E$88,-$D$87,0),0)</f>
        <v>0</v>
      </c>
      <c r="L91" s="8">
        <f>ROUND(FV('Cash Flow IRR Module Inputs'!$C$32/'Cash Flow IRR Module Inputs'!$C$35,K85*'Cash Flow IRR Module Inputs'!$C$35,$E$88,-$D$87,0),0)</f>
        <v>0</v>
      </c>
      <c r="M91" s="8">
        <f>ROUND(FV('Cash Flow IRR Module Inputs'!$C$32/'Cash Flow IRR Module Inputs'!$C$35,L85*'Cash Flow IRR Module Inputs'!$C$35,$E$88,-$D$87,0),0)</f>
        <v>0</v>
      </c>
    </row>
    <row r="92" spans="2:13" ht="15">
      <c r="B92" s="41"/>
      <c r="C92" s="12"/>
      <c r="D92" s="10" t="s">
        <v>63</v>
      </c>
      <c r="E92" s="8">
        <f>ROUND(IF('Cash Flow IRR Module Inputs'!C36&lt;20,('Cash Flow Proforma'!D87*'Cash Flow IRR Module Inputs'!C36)/100,'Cash Flow IRR Module Inputs'!C36),0)</f>
        <v>0</v>
      </c>
      <c r="F92" s="8">
        <f>E94</f>
        <v>0</v>
      </c>
      <c r="G92" s="8">
        <f aca="true" t="shared" si="22" ref="G92:M92">F94</f>
        <v>0</v>
      </c>
      <c r="H92" s="8">
        <f t="shared" si="22"/>
        <v>0</v>
      </c>
      <c r="I92" s="8">
        <f t="shared" si="22"/>
        <v>0</v>
      </c>
      <c r="J92" s="8">
        <f t="shared" si="22"/>
        <v>0</v>
      </c>
      <c r="K92" s="8">
        <f t="shared" si="22"/>
        <v>0</v>
      </c>
      <c r="L92" s="8">
        <f t="shared" si="22"/>
        <v>0</v>
      </c>
      <c r="M92" s="8">
        <f t="shared" si="22"/>
        <v>0</v>
      </c>
    </row>
    <row r="93" spans="2:13" ht="15">
      <c r="B93" s="41"/>
      <c r="C93" s="12"/>
      <c r="D93" s="10" t="s">
        <v>64</v>
      </c>
      <c r="E93" s="8">
        <f>ROUND(E92/'Cash Flow IRR Module Inputs'!C34,0)</f>
        <v>0</v>
      </c>
      <c r="F93" s="8">
        <f>E93</f>
        <v>0</v>
      </c>
      <c r="G93" s="8">
        <f aca="true" t="shared" si="23" ref="G93:M93">F93</f>
        <v>0</v>
      </c>
      <c r="H93" s="8">
        <f t="shared" si="23"/>
        <v>0</v>
      </c>
      <c r="I93" s="8">
        <f t="shared" si="23"/>
        <v>0</v>
      </c>
      <c r="J93" s="8">
        <f t="shared" si="23"/>
        <v>0</v>
      </c>
      <c r="K93" s="8">
        <f t="shared" si="23"/>
        <v>0</v>
      </c>
      <c r="L93" s="8">
        <f t="shared" si="23"/>
        <v>0</v>
      </c>
      <c r="M93" s="8">
        <f t="shared" si="23"/>
        <v>0</v>
      </c>
    </row>
    <row r="94" spans="2:13" ht="15">
      <c r="B94" s="11"/>
      <c r="C94" s="12"/>
      <c r="D94" s="10" t="s">
        <v>65</v>
      </c>
      <c r="E94" s="8">
        <f>E92-E93</f>
        <v>0</v>
      </c>
      <c r="F94" s="8">
        <f aca="true" t="shared" si="24" ref="F94:M94">F92-F93</f>
        <v>0</v>
      </c>
      <c r="G94" s="8">
        <f t="shared" si="24"/>
        <v>0</v>
      </c>
      <c r="H94" s="8">
        <f t="shared" si="24"/>
        <v>0</v>
      </c>
      <c r="I94" s="8">
        <f t="shared" si="24"/>
        <v>0</v>
      </c>
      <c r="J94" s="8">
        <f t="shared" si="24"/>
        <v>0</v>
      </c>
      <c r="K94" s="8">
        <f t="shared" si="24"/>
        <v>0</v>
      </c>
      <c r="L94" s="8">
        <f t="shared" si="24"/>
        <v>0</v>
      </c>
      <c r="M94" s="8">
        <f t="shared" si="24"/>
        <v>0</v>
      </c>
    </row>
    <row r="95" spans="2:13" ht="15">
      <c r="B95" s="11"/>
      <c r="C95" s="12"/>
      <c r="D95" s="13"/>
      <c r="E95" s="7" t="s">
        <v>62</v>
      </c>
      <c r="F95" s="8">
        <f>ROUND(PMT('Cash Flow IRR Module Inputs'!C32/'Cash Flow IRR Module Inputs'!C35,'Cash Flow IRR Module Inputs'!C33*'Cash Flow IRR Module Inputs'!C35,-E87,0,0),2)</f>
        <v>0</v>
      </c>
      <c r="G95" s="8">
        <f>F95</f>
        <v>0</v>
      </c>
      <c r="H95" s="8">
        <f aca="true" t="shared" si="25" ref="H95:M95">G95</f>
        <v>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</row>
    <row r="96" spans="2:13" ht="15">
      <c r="B96" s="11"/>
      <c r="C96" s="12"/>
      <c r="D96" s="13"/>
      <c r="E96" s="7" t="s">
        <v>61</v>
      </c>
      <c r="F96" s="8">
        <f>F95*'Cash Flow IRR Module Inputs'!C35</f>
        <v>0</v>
      </c>
      <c r="G96" s="8">
        <f>F96</f>
        <v>0</v>
      </c>
      <c r="H96" s="8">
        <f aca="true" t="shared" si="26" ref="H96:M96">G96</f>
        <v>0</v>
      </c>
      <c r="I96" s="8">
        <f t="shared" si="26"/>
        <v>0</v>
      </c>
      <c r="J96" s="8">
        <f t="shared" si="26"/>
        <v>0</v>
      </c>
      <c r="K96" s="8">
        <f t="shared" si="26"/>
        <v>0</v>
      </c>
      <c r="L96" s="8">
        <f t="shared" si="26"/>
        <v>0</v>
      </c>
      <c r="M96" s="8">
        <f t="shared" si="26"/>
        <v>0</v>
      </c>
    </row>
    <row r="97" spans="2:13" ht="15">
      <c r="B97" s="11"/>
      <c r="C97" s="12"/>
      <c r="D97" s="13"/>
      <c r="E97" s="7" t="s">
        <v>59</v>
      </c>
      <c r="F97" s="8">
        <f>F96-(E87-F98)</f>
        <v>0</v>
      </c>
      <c r="G97" s="8">
        <f>G96-(F98-G98)</f>
        <v>0</v>
      </c>
      <c r="H97" s="8">
        <f aca="true" t="shared" si="27" ref="H97:M97">H96-(G98-H98)</f>
        <v>0</v>
      </c>
      <c r="I97" s="8">
        <f t="shared" si="27"/>
        <v>0</v>
      </c>
      <c r="J97" s="8">
        <f t="shared" si="27"/>
        <v>0</v>
      </c>
      <c r="K97" s="8">
        <f t="shared" si="27"/>
        <v>0</v>
      </c>
      <c r="L97" s="8">
        <f t="shared" si="27"/>
        <v>0</v>
      </c>
      <c r="M97" s="8">
        <f t="shared" si="27"/>
        <v>0</v>
      </c>
    </row>
    <row r="98" spans="2:13" ht="15">
      <c r="B98" s="11"/>
      <c r="C98" s="12"/>
      <c r="D98" s="13"/>
      <c r="E98" s="7" t="s">
        <v>60</v>
      </c>
      <c r="F98" s="8">
        <f>ROUND(FV('Cash Flow IRR Module Inputs'!$C$32/'Cash Flow IRR Module Inputs'!$C$35,D85*'Cash Flow IRR Module Inputs'!$C$35,$F$95,-$E$87,0),0)</f>
        <v>0</v>
      </c>
      <c r="G98" s="8">
        <f>ROUND(FV('Cash Flow IRR Module Inputs'!$C$32/'Cash Flow IRR Module Inputs'!$C$35,E85*'Cash Flow IRR Module Inputs'!$C$35,$F$95,-$E$87,0),0)</f>
        <v>0</v>
      </c>
      <c r="H98" s="8">
        <f>ROUND(FV('Cash Flow IRR Module Inputs'!$C$32/'Cash Flow IRR Module Inputs'!$C$35,F85*'Cash Flow IRR Module Inputs'!$C$35,$F$95,-$E$87,0),0)</f>
        <v>0</v>
      </c>
      <c r="I98" s="8">
        <f>ROUND(FV('Cash Flow IRR Module Inputs'!$C$32/'Cash Flow IRR Module Inputs'!$C$35,G85*'Cash Flow IRR Module Inputs'!$C$35,$F$95,-$E$87,0),0)</f>
        <v>0</v>
      </c>
      <c r="J98" s="8">
        <f>ROUND(FV('Cash Flow IRR Module Inputs'!$C$32/'Cash Flow IRR Module Inputs'!$C$35,H85*'Cash Flow IRR Module Inputs'!$C$35,$F$95,-$E$87,0),0)</f>
        <v>0</v>
      </c>
      <c r="K98" s="8">
        <f>ROUND(FV('Cash Flow IRR Module Inputs'!$C$32/'Cash Flow IRR Module Inputs'!$C$35,I85*'Cash Flow IRR Module Inputs'!$C$35,$F$95,-$E$87,0),0)</f>
        <v>0</v>
      </c>
      <c r="L98" s="8">
        <f>ROUND(FV('Cash Flow IRR Module Inputs'!$C$32/'Cash Flow IRR Module Inputs'!$C$35,J85*'Cash Flow IRR Module Inputs'!$C$35,$F$95,-$E$87,0),0)</f>
        <v>0</v>
      </c>
      <c r="M98" s="8">
        <f>ROUND(FV('Cash Flow IRR Module Inputs'!$C$32/'Cash Flow IRR Module Inputs'!$C$35,K85*'Cash Flow IRR Module Inputs'!$C$35,$F$95,-$E$87,0),0)</f>
        <v>0</v>
      </c>
    </row>
    <row r="99" spans="2:13" ht="15">
      <c r="B99" s="11"/>
      <c r="C99" s="12"/>
      <c r="D99" s="13"/>
      <c r="E99" s="7" t="s">
        <v>63</v>
      </c>
      <c r="F99" s="8">
        <f>ROUND(IF('Cash Flow IRR Module Inputs'!C36&lt;20,('Cash Flow Proforma'!E87*'Cash Flow IRR Module Inputs'!C36)/100,'Cash Flow IRR Module Inputs'!C36),0)</f>
        <v>0</v>
      </c>
      <c r="G99" s="8">
        <f>F101</f>
        <v>0</v>
      </c>
      <c r="H99" s="8">
        <f aca="true" t="shared" si="28" ref="H99:M99">G101</f>
        <v>0</v>
      </c>
      <c r="I99" s="8">
        <f t="shared" si="28"/>
        <v>0</v>
      </c>
      <c r="J99" s="8">
        <f t="shared" si="28"/>
        <v>0</v>
      </c>
      <c r="K99" s="8">
        <f t="shared" si="28"/>
        <v>0</v>
      </c>
      <c r="L99" s="8">
        <f t="shared" si="28"/>
        <v>0</v>
      </c>
      <c r="M99" s="8">
        <f t="shared" si="28"/>
        <v>0</v>
      </c>
    </row>
    <row r="100" spans="2:13" ht="15">
      <c r="B100" s="11"/>
      <c r="C100" s="12"/>
      <c r="D100" s="13"/>
      <c r="E100" s="7" t="s">
        <v>64</v>
      </c>
      <c r="F100" s="8">
        <f>ROUND(F99/'Cash Flow IRR Module Inputs'!C34,0)</f>
        <v>0</v>
      </c>
      <c r="G100" s="8">
        <f>F100</f>
        <v>0</v>
      </c>
      <c r="H100" s="8">
        <f aca="true" t="shared" si="29" ref="H100:M100">G100</f>
        <v>0</v>
      </c>
      <c r="I100" s="8">
        <f t="shared" si="29"/>
        <v>0</v>
      </c>
      <c r="J100" s="8">
        <f t="shared" si="29"/>
        <v>0</v>
      </c>
      <c r="K100" s="8">
        <f t="shared" si="29"/>
        <v>0</v>
      </c>
      <c r="L100" s="8">
        <f t="shared" si="29"/>
        <v>0</v>
      </c>
      <c r="M100" s="8">
        <f t="shared" si="29"/>
        <v>0</v>
      </c>
    </row>
    <row r="101" spans="2:13" ht="15">
      <c r="B101" s="11"/>
      <c r="C101" s="12"/>
      <c r="D101" s="13"/>
      <c r="E101" s="7" t="s">
        <v>65</v>
      </c>
      <c r="F101" s="8">
        <f>F99-F100</f>
        <v>0</v>
      </c>
      <c r="G101" s="8">
        <f>G99-G100</f>
        <v>0</v>
      </c>
      <c r="H101" s="8">
        <f aca="true" t="shared" si="30" ref="H101:M101">H99-H100</f>
        <v>0</v>
      </c>
      <c r="I101" s="8">
        <f t="shared" si="30"/>
        <v>0</v>
      </c>
      <c r="J101" s="8">
        <f t="shared" si="30"/>
        <v>0</v>
      </c>
      <c r="K101" s="8">
        <f t="shared" si="30"/>
        <v>0</v>
      </c>
      <c r="L101" s="8">
        <f t="shared" si="30"/>
        <v>0</v>
      </c>
      <c r="M101" s="8">
        <f t="shared" si="30"/>
        <v>0</v>
      </c>
    </row>
    <row r="102" spans="2:13" ht="15">
      <c r="B102" s="11"/>
      <c r="C102" s="12"/>
      <c r="D102" s="13"/>
      <c r="E102" s="11"/>
      <c r="F102" s="7" t="s">
        <v>62</v>
      </c>
      <c r="G102" s="8">
        <f>ROUND(PMT('Cash Flow IRR Module Inputs'!C32/'Cash Flow IRR Module Inputs'!C35,'Cash Flow IRR Module Inputs'!C33*'Cash Flow IRR Module Inputs'!C35,-F87,0,0),2)</f>
        <v>0</v>
      </c>
      <c r="H102" s="8">
        <f aca="true" t="shared" si="31" ref="H102:M103">G102</f>
        <v>0</v>
      </c>
      <c r="I102" s="8">
        <f t="shared" si="31"/>
        <v>0</v>
      </c>
      <c r="J102" s="8">
        <f t="shared" si="31"/>
        <v>0</v>
      </c>
      <c r="K102" s="8">
        <f t="shared" si="31"/>
        <v>0</v>
      </c>
      <c r="L102" s="8">
        <f t="shared" si="31"/>
        <v>0</v>
      </c>
      <c r="M102" s="8">
        <f t="shared" si="31"/>
        <v>0</v>
      </c>
    </row>
    <row r="103" spans="2:13" ht="15">
      <c r="B103" s="11"/>
      <c r="C103" s="12"/>
      <c r="D103" s="13"/>
      <c r="E103" s="11"/>
      <c r="F103" s="7" t="s">
        <v>61</v>
      </c>
      <c r="G103" s="8">
        <f>G102*'Cash Flow IRR Module Inputs'!C35</f>
        <v>0</v>
      </c>
      <c r="H103" s="8">
        <f t="shared" si="31"/>
        <v>0</v>
      </c>
      <c r="I103" s="8">
        <f t="shared" si="31"/>
        <v>0</v>
      </c>
      <c r="J103" s="8">
        <f t="shared" si="31"/>
        <v>0</v>
      </c>
      <c r="K103" s="8">
        <f t="shared" si="31"/>
        <v>0</v>
      </c>
      <c r="L103" s="8">
        <f t="shared" si="31"/>
        <v>0</v>
      </c>
      <c r="M103" s="8">
        <f t="shared" si="31"/>
        <v>0</v>
      </c>
    </row>
    <row r="104" spans="2:13" ht="15">
      <c r="B104" s="11"/>
      <c r="C104" s="12"/>
      <c r="D104" s="13"/>
      <c r="E104" s="11"/>
      <c r="F104" s="7" t="s">
        <v>59</v>
      </c>
      <c r="G104" s="8">
        <f>G103-(F87-G105)</f>
        <v>0</v>
      </c>
      <c r="H104" s="8">
        <f aca="true" t="shared" si="32" ref="H104:M104">H103-(G105-H105)</f>
        <v>0</v>
      </c>
      <c r="I104" s="8">
        <f t="shared" si="32"/>
        <v>0</v>
      </c>
      <c r="J104" s="8">
        <f t="shared" si="32"/>
        <v>0</v>
      </c>
      <c r="K104" s="8">
        <f t="shared" si="32"/>
        <v>0</v>
      </c>
      <c r="L104" s="8">
        <f t="shared" si="32"/>
        <v>0</v>
      </c>
      <c r="M104" s="8">
        <f t="shared" si="32"/>
        <v>0</v>
      </c>
    </row>
    <row r="105" spans="2:13" ht="15">
      <c r="B105" s="11"/>
      <c r="C105" s="12"/>
      <c r="D105" s="13"/>
      <c r="E105" s="11"/>
      <c r="F105" s="7" t="s">
        <v>60</v>
      </c>
      <c r="G105" s="8">
        <f>ROUND(FV('Cash Flow IRR Module Inputs'!$C$32/'Cash Flow IRR Module Inputs'!$C$35,D85*'Cash Flow IRR Module Inputs'!$C$35,$G$102,-$F$87,0),0)</f>
        <v>0</v>
      </c>
      <c r="H105" s="8">
        <f>ROUND(FV('Cash Flow IRR Module Inputs'!$C$32/'Cash Flow IRR Module Inputs'!$C$35,E85*'Cash Flow IRR Module Inputs'!$C$35,$G$102,-$F$87,0),0)</f>
        <v>0</v>
      </c>
      <c r="I105" s="8">
        <f>ROUND(FV('Cash Flow IRR Module Inputs'!$C$32/'Cash Flow IRR Module Inputs'!$C$35,F85*'Cash Flow IRR Module Inputs'!$C$35,$G$102,-$F$87,0),0)</f>
        <v>0</v>
      </c>
      <c r="J105" s="8">
        <f>ROUND(FV('Cash Flow IRR Module Inputs'!$C$32/'Cash Flow IRR Module Inputs'!$C$35,G85*'Cash Flow IRR Module Inputs'!$C$35,$G$102,-$F$87,0),0)</f>
        <v>0</v>
      </c>
      <c r="K105" s="8">
        <f>ROUND(FV('Cash Flow IRR Module Inputs'!$C$32/'Cash Flow IRR Module Inputs'!$C$35,H85*'Cash Flow IRR Module Inputs'!$C$35,$G$102,-$F$87,0),0)</f>
        <v>0</v>
      </c>
      <c r="L105" s="8">
        <f>ROUND(FV('Cash Flow IRR Module Inputs'!$C$32/'Cash Flow IRR Module Inputs'!$C$35,I85*'Cash Flow IRR Module Inputs'!$C$35,$G$102,-$F$87,0),0)</f>
        <v>0</v>
      </c>
      <c r="M105" s="8">
        <f>ROUND(FV('Cash Flow IRR Module Inputs'!$C$32/'Cash Flow IRR Module Inputs'!$C$35,J85*'Cash Flow IRR Module Inputs'!$C$35,$G$102,-$F$87,0),0)</f>
        <v>0</v>
      </c>
    </row>
    <row r="106" spans="2:13" ht="15">
      <c r="B106" s="11"/>
      <c r="C106" s="12"/>
      <c r="D106" s="13"/>
      <c r="E106" s="11"/>
      <c r="F106" s="7" t="s">
        <v>63</v>
      </c>
      <c r="G106" s="8">
        <f>ROUND(IF('Cash Flow IRR Module Inputs'!C36&lt;20,('Cash Flow Proforma'!F87*'Cash Flow IRR Module Inputs'!C36)/100,'Cash Flow IRR Module Inputs'!C36),0)</f>
        <v>0</v>
      </c>
      <c r="H106" s="8">
        <f aca="true" t="shared" si="33" ref="H106:M106">G108</f>
        <v>0</v>
      </c>
      <c r="I106" s="8">
        <f t="shared" si="33"/>
        <v>0</v>
      </c>
      <c r="J106" s="8">
        <f t="shared" si="33"/>
        <v>0</v>
      </c>
      <c r="K106" s="8">
        <f t="shared" si="33"/>
        <v>0</v>
      </c>
      <c r="L106" s="8">
        <f t="shared" si="33"/>
        <v>0</v>
      </c>
      <c r="M106" s="8">
        <f t="shared" si="33"/>
        <v>0</v>
      </c>
    </row>
    <row r="107" spans="2:13" ht="15">
      <c r="B107" s="11"/>
      <c r="C107" s="12"/>
      <c r="D107" s="13"/>
      <c r="E107" s="11"/>
      <c r="F107" s="7" t="s">
        <v>64</v>
      </c>
      <c r="G107" s="8">
        <f>ROUND(G106/'Cash Flow IRR Module Inputs'!C34,0)</f>
        <v>0</v>
      </c>
      <c r="H107" s="8">
        <f aca="true" t="shared" si="34" ref="H107:M107">G107</f>
        <v>0</v>
      </c>
      <c r="I107" s="8">
        <f t="shared" si="34"/>
        <v>0</v>
      </c>
      <c r="J107" s="8">
        <f t="shared" si="34"/>
        <v>0</v>
      </c>
      <c r="K107" s="8">
        <f t="shared" si="34"/>
        <v>0</v>
      </c>
      <c r="L107" s="8">
        <f t="shared" si="34"/>
        <v>0</v>
      </c>
      <c r="M107" s="8">
        <f t="shared" si="34"/>
        <v>0</v>
      </c>
    </row>
    <row r="108" spans="2:13" ht="15">
      <c r="B108" s="11"/>
      <c r="C108" s="12"/>
      <c r="D108" s="13"/>
      <c r="E108" s="11"/>
      <c r="F108" s="7" t="s">
        <v>65</v>
      </c>
      <c r="G108" s="8">
        <f>G106-G107</f>
        <v>0</v>
      </c>
      <c r="H108" s="8">
        <f aca="true" t="shared" si="35" ref="H108:M108">H106-H107</f>
        <v>0</v>
      </c>
      <c r="I108" s="8">
        <f t="shared" si="35"/>
        <v>0</v>
      </c>
      <c r="J108" s="8">
        <f t="shared" si="35"/>
        <v>0</v>
      </c>
      <c r="K108" s="8">
        <f t="shared" si="35"/>
        <v>0</v>
      </c>
      <c r="L108" s="8">
        <f t="shared" si="35"/>
        <v>0</v>
      </c>
      <c r="M108" s="8">
        <f t="shared" si="35"/>
        <v>0</v>
      </c>
    </row>
    <row r="109" spans="2:13" ht="15">
      <c r="B109" s="11"/>
      <c r="C109" s="12"/>
      <c r="D109" s="13"/>
      <c r="E109" s="11"/>
      <c r="F109" s="11"/>
      <c r="G109" s="7" t="s">
        <v>62</v>
      </c>
      <c r="H109" s="8">
        <f>ROUND(PMT('Cash Flow IRR Module Inputs'!C32/'Cash Flow IRR Module Inputs'!C35,'Cash Flow IRR Module Inputs'!C33*'Cash Flow IRR Module Inputs'!C35,-G87,0,0),2)</f>
        <v>0</v>
      </c>
      <c r="I109" s="8">
        <f aca="true" t="shared" si="36" ref="I109:M110">H109</f>
        <v>0</v>
      </c>
      <c r="J109" s="8">
        <f t="shared" si="36"/>
        <v>0</v>
      </c>
      <c r="K109" s="8">
        <f t="shared" si="36"/>
        <v>0</v>
      </c>
      <c r="L109" s="8">
        <f t="shared" si="36"/>
        <v>0</v>
      </c>
      <c r="M109" s="8">
        <f t="shared" si="36"/>
        <v>0</v>
      </c>
    </row>
    <row r="110" spans="2:13" ht="15">
      <c r="B110" s="11"/>
      <c r="C110" s="12"/>
      <c r="D110" s="13"/>
      <c r="E110" s="11"/>
      <c r="F110" s="11"/>
      <c r="G110" s="7" t="s">
        <v>61</v>
      </c>
      <c r="H110" s="8">
        <f>H109*'Cash Flow IRR Module Inputs'!C35</f>
        <v>0</v>
      </c>
      <c r="I110" s="8">
        <f t="shared" si="36"/>
        <v>0</v>
      </c>
      <c r="J110" s="8">
        <f t="shared" si="36"/>
        <v>0</v>
      </c>
      <c r="K110" s="8">
        <f t="shared" si="36"/>
        <v>0</v>
      </c>
      <c r="L110" s="8">
        <f t="shared" si="36"/>
        <v>0</v>
      </c>
      <c r="M110" s="8">
        <f t="shared" si="36"/>
        <v>0</v>
      </c>
    </row>
    <row r="111" spans="2:13" ht="15">
      <c r="B111" s="11"/>
      <c r="C111" s="12"/>
      <c r="D111" s="13"/>
      <c r="E111" s="11"/>
      <c r="F111" s="11"/>
      <c r="G111" s="7" t="s">
        <v>59</v>
      </c>
      <c r="H111" s="8">
        <f>H110-(G87-H112)</f>
        <v>0</v>
      </c>
      <c r="I111" s="8">
        <f>I110-(H112-I112)</f>
        <v>0</v>
      </c>
      <c r="J111" s="8">
        <f>J110-(I112-J112)</f>
        <v>0</v>
      </c>
      <c r="K111" s="8">
        <f>K110-(J112-K112)</f>
        <v>0</v>
      </c>
      <c r="L111" s="8">
        <f>L110-(K112-L112)</f>
        <v>0</v>
      </c>
      <c r="M111" s="8">
        <f>M110-(L112-M112)</f>
        <v>0</v>
      </c>
    </row>
    <row r="112" spans="2:13" ht="15">
      <c r="B112" s="11"/>
      <c r="C112" s="12"/>
      <c r="D112" s="13"/>
      <c r="E112" s="11"/>
      <c r="F112" s="11"/>
      <c r="G112" s="7" t="s">
        <v>60</v>
      </c>
      <c r="H112" s="8">
        <f>ROUND(FV('Cash Flow IRR Module Inputs'!$C$32/'Cash Flow IRR Module Inputs'!$C$35,D85*'Cash Flow IRR Module Inputs'!$C$35,$H$109,-$G$87,0),0)</f>
        <v>0</v>
      </c>
      <c r="I112" s="8">
        <f>ROUND(FV('Cash Flow IRR Module Inputs'!$C$32/'Cash Flow IRR Module Inputs'!$C$35,E85*'Cash Flow IRR Module Inputs'!$C$35,$H$109,-$G$87,0),0)</f>
        <v>0</v>
      </c>
      <c r="J112" s="8">
        <f>ROUND(FV('Cash Flow IRR Module Inputs'!$C$32/'Cash Flow IRR Module Inputs'!$C$35,F85*'Cash Flow IRR Module Inputs'!$C$35,$H$109,-$G$87,0),0)</f>
        <v>0</v>
      </c>
      <c r="K112" s="8">
        <f>ROUND(FV('Cash Flow IRR Module Inputs'!$C$32/'Cash Flow IRR Module Inputs'!$C$35,G85*'Cash Flow IRR Module Inputs'!$C$35,$H$109,-$G$87,0),0)</f>
        <v>0</v>
      </c>
      <c r="L112" s="8">
        <f>ROUND(FV('Cash Flow IRR Module Inputs'!$C$32/'Cash Flow IRR Module Inputs'!$C$35,H85*'Cash Flow IRR Module Inputs'!$C$35,$H$109,-$G$87,0),0)</f>
        <v>0</v>
      </c>
      <c r="M112" s="8">
        <f>ROUND(FV('Cash Flow IRR Module Inputs'!$C$32/'Cash Flow IRR Module Inputs'!$C$35,I85*'Cash Flow IRR Module Inputs'!$C$35,$H$109,-$G$87,0),0)</f>
        <v>0</v>
      </c>
    </row>
    <row r="113" spans="2:13" ht="15">
      <c r="B113" s="11"/>
      <c r="C113" s="12"/>
      <c r="D113" s="13"/>
      <c r="E113" s="11"/>
      <c r="F113" s="11"/>
      <c r="G113" s="7" t="s">
        <v>63</v>
      </c>
      <c r="H113" s="8">
        <f>ROUND(IF('Cash Flow IRR Module Inputs'!C36&lt;20,('Cash Flow Proforma'!G87*'Cash Flow IRR Module Inputs'!C36)/100,'Cash Flow IRR Module Inputs'!C36),0)</f>
        <v>0</v>
      </c>
      <c r="I113" s="8">
        <f>H115</f>
        <v>0</v>
      </c>
      <c r="J113" s="8">
        <f>I115</f>
        <v>0</v>
      </c>
      <c r="K113" s="8">
        <f>J115</f>
        <v>0</v>
      </c>
      <c r="L113" s="8">
        <f>K115</f>
        <v>0</v>
      </c>
      <c r="M113" s="8">
        <f>L115</f>
        <v>0</v>
      </c>
    </row>
    <row r="114" spans="2:13" ht="15">
      <c r="B114" s="11"/>
      <c r="C114" s="12"/>
      <c r="D114" s="13"/>
      <c r="E114" s="11"/>
      <c r="F114" s="11"/>
      <c r="G114" s="7" t="s">
        <v>64</v>
      </c>
      <c r="H114" s="8">
        <f>ROUND(H113/'Cash Flow IRR Module Inputs'!C34,0)</f>
        <v>0</v>
      </c>
      <c r="I114" s="8">
        <f>H114</f>
        <v>0</v>
      </c>
      <c r="J114" s="8">
        <f>I114</f>
        <v>0</v>
      </c>
      <c r="K114" s="8">
        <f>J114</f>
        <v>0</v>
      </c>
      <c r="L114" s="8">
        <f>K114</f>
        <v>0</v>
      </c>
      <c r="M114" s="8">
        <f>L114</f>
        <v>0</v>
      </c>
    </row>
    <row r="115" spans="2:13" ht="15">
      <c r="B115" s="11"/>
      <c r="C115" s="12"/>
      <c r="D115" s="13"/>
      <c r="E115" s="11"/>
      <c r="F115" s="11"/>
      <c r="G115" s="7" t="s">
        <v>65</v>
      </c>
      <c r="H115" s="8">
        <f aca="true" t="shared" si="37" ref="H115:M115">H113-H114</f>
        <v>0</v>
      </c>
      <c r="I115" s="8">
        <f t="shared" si="37"/>
        <v>0</v>
      </c>
      <c r="J115" s="8">
        <f t="shared" si="37"/>
        <v>0</v>
      </c>
      <c r="K115" s="8">
        <f t="shared" si="37"/>
        <v>0</v>
      </c>
      <c r="L115" s="8">
        <f t="shared" si="37"/>
        <v>0</v>
      </c>
      <c r="M115" s="8">
        <f t="shared" si="37"/>
        <v>0</v>
      </c>
    </row>
    <row r="116" spans="2:13" ht="15">
      <c r="B116" s="11"/>
      <c r="C116" s="12"/>
      <c r="D116" s="13"/>
      <c r="E116" s="11"/>
      <c r="F116" s="11"/>
      <c r="G116" s="11"/>
      <c r="H116" s="7" t="s">
        <v>62</v>
      </c>
      <c r="I116" s="8">
        <f>ROUND(PMT('Cash Flow IRR Module Inputs'!C32/'Cash Flow IRR Module Inputs'!C35,'Cash Flow IRR Module Inputs'!C33*'Cash Flow IRR Module Inputs'!C35,-H87,0,0),2)</f>
        <v>0</v>
      </c>
      <c r="J116" s="8">
        <f aca="true" t="shared" si="38" ref="J116:M117">I116</f>
        <v>0</v>
      </c>
      <c r="K116" s="8">
        <f t="shared" si="38"/>
        <v>0</v>
      </c>
      <c r="L116" s="8">
        <f t="shared" si="38"/>
        <v>0</v>
      </c>
      <c r="M116" s="8">
        <f t="shared" si="38"/>
        <v>0</v>
      </c>
    </row>
    <row r="117" spans="2:13" ht="15">
      <c r="B117" s="11"/>
      <c r="C117" s="12"/>
      <c r="D117" s="13"/>
      <c r="E117" s="11"/>
      <c r="F117" s="11"/>
      <c r="G117" s="11"/>
      <c r="H117" s="7" t="s">
        <v>61</v>
      </c>
      <c r="I117" s="8">
        <f>I116*'Cash Flow IRR Module Inputs'!C35</f>
        <v>0</v>
      </c>
      <c r="J117" s="8">
        <f t="shared" si="38"/>
        <v>0</v>
      </c>
      <c r="K117" s="8">
        <f t="shared" si="38"/>
        <v>0</v>
      </c>
      <c r="L117" s="8">
        <f t="shared" si="38"/>
        <v>0</v>
      </c>
      <c r="M117" s="8">
        <f t="shared" si="38"/>
        <v>0</v>
      </c>
    </row>
    <row r="118" spans="2:13" ht="15">
      <c r="B118" s="11"/>
      <c r="C118" s="12"/>
      <c r="D118" s="13"/>
      <c r="E118" s="11"/>
      <c r="F118" s="11"/>
      <c r="G118" s="11"/>
      <c r="H118" s="7" t="s">
        <v>59</v>
      </c>
      <c r="I118" s="8">
        <f>I117-(H87-I119)</f>
        <v>0</v>
      </c>
      <c r="J118" s="8">
        <f>J117-(I119-J119)</f>
        <v>0</v>
      </c>
      <c r="K118" s="8">
        <f>K117-(J119-K119)</f>
        <v>0</v>
      </c>
      <c r="L118" s="8">
        <f>L117-(K119-L119)</f>
        <v>0</v>
      </c>
      <c r="M118" s="8">
        <f>M117-(L119-M119)</f>
        <v>0</v>
      </c>
    </row>
    <row r="119" spans="2:13" ht="15">
      <c r="B119" s="11"/>
      <c r="C119" s="12"/>
      <c r="D119" s="13"/>
      <c r="E119" s="11"/>
      <c r="F119" s="11"/>
      <c r="G119" s="11"/>
      <c r="H119" s="7" t="s">
        <v>60</v>
      </c>
      <c r="I119" s="8">
        <f>ROUND(FV('Cash Flow IRR Module Inputs'!$C$32/'Cash Flow IRR Module Inputs'!$C$35,D85*'Cash Flow IRR Module Inputs'!$C$35,$I$116,-$H$87,0),0)</f>
        <v>0</v>
      </c>
      <c r="J119" s="8">
        <f>ROUND(FV('Cash Flow IRR Module Inputs'!$C$32/'Cash Flow IRR Module Inputs'!$C$35,E85*'Cash Flow IRR Module Inputs'!$C$35,$I$116,-$H$87,0),0)</f>
        <v>0</v>
      </c>
      <c r="K119" s="8">
        <f>ROUND(FV('Cash Flow IRR Module Inputs'!$C$32/'Cash Flow IRR Module Inputs'!$C$35,F85*'Cash Flow IRR Module Inputs'!$C$35,$I$116,-$H$87,0),0)</f>
        <v>0</v>
      </c>
      <c r="L119" s="8">
        <f>ROUND(FV('Cash Flow IRR Module Inputs'!$C$32/'Cash Flow IRR Module Inputs'!$C$35,G85*'Cash Flow IRR Module Inputs'!$C$35,$I$116,-$H$87,0),0)</f>
        <v>0</v>
      </c>
      <c r="M119" s="8">
        <f>ROUND(FV('Cash Flow IRR Module Inputs'!$C$32/'Cash Flow IRR Module Inputs'!$C$35,H85*'Cash Flow IRR Module Inputs'!$C$35,$I$116,-$H$87,0),0)</f>
        <v>0</v>
      </c>
    </row>
    <row r="120" spans="2:13" ht="15">
      <c r="B120" s="11"/>
      <c r="C120" s="12"/>
      <c r="D120" s="13"/>
      <c r="E120" s="11"/>
      <c r="F120" s="11"/>
      <c r="G120" s="11"/>
      <c r="H120" s="7" t="s">
        <v>63</v>
      </c>
      <c r="I120" s="8">
        <f>ROUND(IF('Cash Flow IRR Module Inputs'!C36&lt;20,('Cash Flow Proforma'!H87*'Cash Flow IRR Module Inputs'!C36)/100,'Cash Flow IRR Module Inputs'!C36),0)</f>
        <v>0</v>
      </c>
      <c r="J120" s="8">
        <f>I122</f>
        <v>0</v>
      </c>
      <c r="K120" s="8">
        <f>J122</f>
        <v>0</v>
      </c>
      <c r="L120" s="8">
        <f>K122</f>
        <v>0</v>
      </c>
      <c r="M120" s="8">
        <f>L122</f>
        <v>0</v>
      </c>
    </row>
    <row r="121" spans="2:13" ht="15">
      <c r="B121" s="11"/>
      <c r="C121" s="12"/>
      <c r="D121" s="13"/>
      <c r="E121" s="11"/>
      <c r="F121" s="11"/>
      <c r="G121" s="11"/>
      <c r="H121" s="7" t="s">
        <v>64</v>
      </c>
      <c r="I121" s="8">
        <f>ROUND(I120/'Cash Flow IRR Module Inputs'!C34,0)</f>
        <v>0</v>
      </c>
      <c r="J121" s="8">
        <f>I121</f>
        <v>0</v>
      </c>
      <c r="K121" s="8">
        <f>J121</f>
        <v>0</v>
      </c>
      <c r="L121" s="8">
        <f>K121</f>
        <v>0</v>
      </c>
      <c r="M121" s="8">
        <f>L121</f>
        <v>0</v>
      </c>
    </row>
    <row r="122" spans="2:13" ht="15">
      <c r="B122" s="11"/>
      <c r="C122" s="12"/>
      <c r="D122" s="13"/>
      <c r="E122" s="11"/>
      <c r="F122" s="11"/>
      <c r="G122" s="11"/>
      <c r="H122" s="7" t="s">
        <v>65</v>
      </c>
      <c r="I122" s="8">
        <f>I120-I121</f>
        <v>0</v>
      </c>
      <c r="J122" s="8">
        <f>J120-J121</f>
        <v>0</v>
      </c>
      <c r="K122" s="8">
        <f>K120-K121</f>
        <v>0</v>
      </c>
      <c r="L122" s="8">
        <f>L120-L121</f>
        <v>0</v>
      </c>
      <c r="M122" s="8">
        <f>M120-M121</f>
        <v>0</v>
      </c>
    </row>
    <row r="123" spans="2:13" ht="15">
      <c r="B123" s="11"/>
      <c r="C123" s="12"/>
      <c r="D123" s="13"/>
      <c r="E123" s="11"/>
      <c r="F123" s="11"/>
      <c r="G123" s="11"/>
      <c r="H123" s="11"/>
      <c r="I123" s="7" t="s">
        <v>62</v>
      </c>
      <c r="J123" s="8">
        <f>ROUND(PMT('Cash Flow IRR Module Inputs'!C32/'Cash Flow IRR Module Inputs'!C35,'Cash Flow IRR Module Inputs'!C33*'Cash Flow IRR Module Inputs'!C35,-I87,0,0),2)</f>
        <v>0</v>
      </c>
      <c r="K123" s="8">
        <f aca="true" t="shared" si="39" ref="K123:M124">J123</f>
        <v>0</v>
      </c>
      <c r="L123" s="8">
        <f t="shared" si="39"/>
        <v>0</v>
      </c>
      <c r="M123" s="8">
        <f t="shared" si="39"/>
        <v>0</v>
      </c>
    </row>
    <row r="124" spans="2:13" ht="15">
      <c r="B124" s="11"/>
      <c r="C124" s="12"/>
      <c r="D124" s="13"/>
      <c r="E124" s="11"/>
      <c r="F124" s="11"/>
      <c r="G124" s="11"/>
      <c r="H124" s="11"/>
      <c r="I124" s="7" t="s">
        <v>61</v>
      </c>
      <c r="J124" s="8">
        <f>J123*'Cash Flow IRR Module Inputs'!C35</f>
        <v>0</v>
      </c>
      <c r="K124" s="8">
        <f t="shared" si="39"/>
        <v>0</v>
      </c>
      <c r="L124" s="8">
        <f t="shared" si="39"/>
        <v>0</v>
      </c>
      <c r="M124" s="8">
        <f t="shared" si="39"/>
        <v>0</v>
      </c>
    </row>
    <row r="125" spans="2:13" ht="15">
      <c r="B125" s="11"/>
      <c r="C125" s="12"/>
      <c r="D125" s="13"/>
      <c r="E125" s="11"/>
      <c r="F125" s="11"/>
      <c r="G125" s="11"/>
      <c r="H125" s="11"/>
      <c r="I125" s="7" t="s">
        <v>59</v>
      </c>
      <c r="J125" s="8">
        <f>J124-(I87-J126)</f>
        <v>0</v>
      </c>
      <c r="K125" s="8">
        <f>K124-(J126-K126)</f>
        <v>0</v>
      </c>
      <c r="L125" s="8">
        <f>L124-(K126-L126)</f>
        <v>0</v>
      </c>
      <c r="M125" s="8">
        <f>M124-(L126-M126)</f>
        <v>0</v>
      </c>
    </row>
    <row r="126" spans="2:13" ht="15">
      <c r="B126" s="11"/>
      <c r="C126" s="12"/>
      <c r="D126" s="13"/>
      <c r="E126" s="11"/>
      <c r="F126" s="11"/>
      <c r="G126" s="11"/>
      <c r="H126" s="11"/>
      <c r="I126" s="7" t="s">
        <v>60</v>
      </c>
      <c r="J126" s="8">
        <f>ROUND(FV('Cash Flow IRR Module Inputs'!$C$32/'Cash Flow IRR Module Inputs'!$C$35,D85*'Cash Flow IRR Module Inputs'!$C$35,$J$123,-$I$87,0),0)</f>
        <v>0</v>
      </c>
      <c r="K126" s="8">
        <f>ROUND(FV('Cash Flow IRR Module Inputs'!$C$32/'Cash Flow IRR Module Inputs'!$C$35,E85*'Cash Flow IRR Module Inputs'!$C$35,$J$123,-$I$87,0),0)</f>
        <v>0</v>
      </c>
      <c r="L126" s="8">
        <f>ROUND(FV('Cash Flow IRR Module Inputs'!$C$32/'Cash Flow IRR Module Inputs'!$C$35,F85*'Cash Flow IRR Module Inputs'!$C$35,$J$123,-$I$87,0),0)</f>
        <v>0</v>
      </c>
      <c r="M126" s="8">
        <f>ROUND(FV('Cash Flow IRR Module Inputs'!$C$32/'Cash Flow IRR Module Inputs'!$C$35,G85*'Cash Flow IRR Module Inputs'!$C$35,$J$123,-$I$87,0),0)</f>
        <v>0</v>
      </c>
    </row>
    <row r="127" spans="2:13" ht="15">
      <c r="B127" s="11"/>
      <c r="C127" s="12"/>
      <c r="D127" s="13"/>
      <c r="E127" s="11"/>
      <c r="F127" s="11"/>
      <c r="G127" s="11"/>
      <c r="H127" s="11"/>
      <c r="I127" s="7" t="s">
        <v>63</v>
      </c>
      <c r="J127" s="8">
        <f>ROUND(IF('Cash Flow IRR Module Inputs'!C36&lt;20,('Cash Flow Proforma'!I87*'Cash Flow IRR Module Inputs'!C36)/100,'Cash Flow IRR Module Inputs'!C36),0)</f>
        <v>0</v>
      </c>
      <c r="K127" s="8">
        <f>J129</f>
        <v>0</v>
      </c>
      <c r="L127" s="8">
        <f>K129</f>
        <v>0</v>
      </c>
      <c r="M127" s="8">
        <f>L129</f>
        <v>0</v>
      </c>
    </row>
    <row r="128" spans="2:13" ht="15">
      <c r="B128" s="11"/>
      <c r="C128" s="12"/>
      <c r="D128" s="13"/>
      <c r="E128" s="11"/>
      <c r="F128" s="11"/>
      <c r="G128" s="11"/>
      <c r="H128" s="11"/>
      <c r="I128" s="7" t="s">
        <v>64</v>
      </c>
      <c r="J128" s="8">
        <f>ROUND(J127/'Cash Flow IRR Module Inputs'!C34,0)</f>
        <v>0</v>
      </c>
      <c r="K128" s="8">
        <f>J128</f>
        <v>0</v>
      </c>
      <c r="L128" s="8">
        <f>K128</f>
        <v>0</v>
      </c>
      <c r="M128" s="8">
        <f>L128</f>
        <v>0</v>
      </c>
    </row>
    <row r="129" spans="2:13" ht="15">
      <c r="B129" s="11"/>
      <c r="C129" s="12"/>
      <c r="D129" s="13"/>
      <c r="E129" s="11"/>
      <c r="F129" s="11"/>
      <c r="G129" s="11"/>
      <c r="H129" s="11"/>
      <c r="I129" s="7" t="s">
        <v>65</v>
      </c>
      <c r="J129" s="8">
        <f>J127-J128</f>
        <v>0</v>
      </c>
      <c r="K129" s="8">
        <f>K127-K128</f>
        <v>0</v>
      </c>
      <c r="L129" s="8">
        <f>L127-L128</f>
        <v>0</v>
      </c>
      <c r="M129" s="8">
        <f>M127-M128</f>
        <v>0</v>
      </c>
    </row>
    <row r="130" spans="2:13" ht="15">
      <c r="B130" s="11"/>
      <c r="C130" s="12"/>
      <c r="D130" s="13"/>
      <c r="E130" s="11"/>
      <c r="F130" s="11"/>
      <c r="G130" s="11"/>
      <c r="H130" s="11"/>
      <c r="I130" s="11"/>
      <c r="J130" s="7" t="s">
        <v>62</v>
      </c>
      <c r="K130" s="8">
        <f>ROUND(PMT('Cash Flow IRR Module Inputs'!C32/'Cash Flow IRR Module Inputs'!C35,'Cash Flow IRR Module Inputs'!C33*'Cash Flow IRR Module Inputs'!C35,-J87,0,0),2)</f>
        <v>0</v>
      </c>
      <c r="L130" s="8">
        <f>K130</f>
        <v>0</v>
      </c>
      <c r="M130" s="8">
        <f>L130</f>
        <v>0</v>
      </c>
    </row>
    <row r="131" spans="2:13" ht="15">
      <c r="B131" s="11"/>
      <c r="C131" s="12"/>
      <c r="D131" s="13"/>
      <c r="E131" s="11"/>
      <c r="F131" s="11"/>
      <c r="G131" s="11"/>
      <c r="H131" s="11"/>
      <c r="I131" s="11"/>
      <c r="J131" s="7" t="s">
        <v>61</v>
      </c>
      <c r="K131" s="8">
        <f>K130*'Cash Flow IRR Module Inputs'!C35</f>
        <v>0</v>
      </c>
      <c r="L131" s="8">
        <f>K131</f>
        <v>0</v>
      </c>
      <c r="M131" s="8">
        <f>L131</f>
        <v>0</v>
      </c>
    </row>
    <row r="132" spans="2:13" ht="15">
      <c r="B132" s="11"/>
      <c r="C132" s="12"/>
      <c r="D132" s="13"/>
      <c r="E132" s="11"/>
      <c r="F132" s="11"/>
      <c r="G132" s="11"/>
      <c r="H132" s="11"/>
      <c r="I132" s="11"/>
      <c r="J132" s="7" t="s">
        <v>59</v>
      </c>
      <c r="K132" s="8">
        <f>K131-(J87-K133)</f>
        <v>0</v>
      </c>
      <c r="L132" s="8">
        <f>L131-(K133-L133)</f>
        <v>0</v>
      </c>
      <c r="M132" s="8">
        <f>M131-(L133-M133)</f>
        <v>0</v>
      </c>
    </row>
    <row r="133" spans="2:13" ht="15">
      <c r="B133" s="11"/>
      <c r="C133" s="12"/>
      <c r="D133" s="13"/>
      <c r="E133" s="11"/>
      <c r="F133" s="11"/>
      <c r="G133" s="11"/>
      <c r="H133" s="11"/>
      <c r="I133" s="11"/>
      <c r="J133" s="7" t="s">
        <v>60</v>
      </c>
      <c r="K133" s="8">
        <f>ROUND(FV('Cash Flow IRR Module Inputs'!$C$32/'Cash Flow IRR Module Inputs'!$C$35,D85*'Cash Flow IRR Module Inputs'!$C$35,$K$130,-$J$87,0),0)</f>
        <v>0</v>
      </c>
      <c r="L133" s="8">
        <f>ROUND(FV('Cash Flow IRR Module Inputs'!$C$32/'Cash Flow IRR Module Inputs'!$C$35,E85*'Cash Flow IRR Module Inputs'!$C$35,$K$130,-$J$87,0),0)</f>
        <v>0</v>
      </c>
      <c r="M133" s="8">
        <f>ROUND(FV('Cash Flow IRR Module Inputs'!$C$32/'Cash Flow IRR Module Inputs'!$C$35,F85*'Cash Flow IRR Module Inputs'!$C$35,$K$130,-$J$87,0),0)</f>
        <v>0</v>
      </c>
    </row>
    <row r="134" spans="2:13" ht="15">
      <c r="B134" s="11"/>
      <c r="C134" s="12"/>
      <c r="D134" s="13"/>
      <c r="E134" s="11"/>
      <c r="F134" s="11"/>
      <c r="G134" s="11"/>
      <c r="H134" s="11"/>
      <c r="I134" s="11"/>
      <c r="J134" s="7" t="s">
        <v>63</v>
      </c>
      <c r="K134" s="8">
        <f>ROUND(IF('Cash Flow IRR Module Inputs'!C36&lt;20,('Cash Flow Proforma'!J87*'Cash Flow IRR Module Inputs'!C36)/100,'Cash Flow IRR Module Inputs'!C36),0)</f>
        <v>0</v>
      </c>
      <c r="L134" s="8">
        <f>K136</f>
        <v>0</v>
      </c>
      <c r="M134" s="8">
        <f>L136</f>
        <v>0</v>
      </c>
    </row>
    <row r="135" spans="2:13" ht="15">
      <c r="B135" s="11"/>
      <c r="C135" s="12"/>
      <c r="D135" s="13"/>
      <c r="E135" s="11"/>
      <c r="F135" s="11"/>
      <c r="G135" s="11"/>
      <c r="H135" s="11"/>
      <c r="I135" s="11"/>
      <c r="J135" s="7" t="s">
        <v>64</v>
      </c>
      <c r="K135" s="8">
        <f>ROUND(K134/'Cash Flow IRR Module Inputs'!C34,0)</f>
        <v>0</v>
      </c>
      <c r="L135" s="8">
        <f>K135</f>
        <v>0</v>
      </c>
      <c r="M135" s="8">
        <f>L135</f>
        <v>0</v>
      </c>
    </row>
    <row r="136" spans="2:13" ht="15">
      <c r="B136" s="11"/>
      <c r="C136" s="12"/>
      <c r="D136" s="13"/>
      <c r="E136" s="11"/>
      <c r="F136" s="11"/>
      <c r="G136" s="11"/>
      <c r="H136" s="11"/>
      <c r="I136" s="11"/>
      <c r="J136" s="7" t="s">
        <v>65</v>
      </c>
      <c r="K136" s="8">
        <f>K134-K135</f>
        <v>0</v>
      </c>
      <c r="L136" s="8">
        <f>L134-L135</f>
        <v>0</v>
      </c>
      <c r="M136" s="8">
        <f>M134-M135</f>
        <v>0</v>
      </c>
    </row>
    <row r="137" spans="2:13" ht="15">
      <c r="B137" s="11"/>
      <c r="C137" s="12"/>
      <c r="D137" s="13"/>
      <c r="E137" s="11"/>
      <c r="F137" s="11"/>
      <c r="G137" s="11"/>
      <c r="H137" s="11"/>
      <c r="I137" s="11"/>
      <c r="J137" s="11"/>
      <c r="K137" s="7" t="s">
        <v>62</v>
      </c>
      <c r="L137" s="8">
        <f>ROUND(PMT('Cash Flow IRR Module Inputs'!C32/'Cash Flow IRR Module Inputs'!C35,'Cash Flow IRR Module Inputs'!C33*'Cash Flow IRR Module Inputs'!C35,-K87,0,0),2)</f>
        <v>0</v>
      </c>
      <c r="M137" s="8">
        <f>L137</f>
        <v>0</v>
      </c>
    </row>
    <row r="138" spans="2:13" ht="15">
      <c r="B138" s="11"/>
      <c r="C138" s="12"/>
      <c r="D138" s="13"/>
      <c r="E138" s="11"/>
      <c r="F138" s="11"/>
      <c r="G138" s="11"/>
      <c r="H138" s="11"/>
      <c r="I138" s="11"/>
      <c r="J138" s="11"/>
      <c r="K138" s="7" t="s">
        <v>61</v>
      </c>
      <c r="L138" s="8">
        <f>L137*'Cash Flow IRR Module Inputs'!C35</f>
        <v>0</v>
      </c>
      <c r="M138" s="8">
        <f>L138</f>
        <v>0</v>
      </c>
    </row>
    <row r="139" spans="2:13" ht="15">
      <c r="B139" s="11"/>
      <c r="C139" s="12"/>
      <c r="D139" s="13"/>
      <c r="E139" s="11"/>
      <c r="F139" s="11"/>
      <c r="G139" s="11"/>
      <c r="H139" s="11"/>
      <c r="I139" s="11"/>
      <c r="J139" s="11"/>
      <c r="K139" s="7" t="s">
        <v>59</v>
      </c>
      <c r="L139" s="8">
        <f>L138-(K87-L140)</f>
        <v>0</v>
      </c>
      <c r="M139" s="8">
        <f>M138-(L140-M140)</f>
        <v>0</v>
      </c>
    </row>
    <row r="140" spans="2:13" ht="15">
      <c r="B140" s="11"/>
      <c r="C140" s="12"/>
      <c r="D140" s="13"/>
      <c r="E140" s="11"/>
      <c r="F140" s="11"/>
      <c r="G140" s="11"/>
      <c r="H140" s="11"/>
      <c r="I140" s="11"/>
      <c r="J140" s="11"/>
      <c r="K140" s="7" t="s">
        <v>60</v>
      </c>
      <c r="L140" s="8">
        <f>ROUND(FV('Cash Flow IRR Module Inputs'!$C$32/'Cash Flow IRR Module Inputs'!$C$35,D85*'Cash Flow IRR Module Inputs'!$C$35,$L$137,-$K$87,0),0)</f>
        <v>0</v>
      </c>
      <c r="M140" s="8">
        <f>ROUND(FV('Cash Flow IRR Module Inputs'!$C$32/'Cash Flow IRR Module Inputs'!$C$35,E85*'Cash Flow IRR Module Inputs'!$C$35,$L$137,-$K$87,0),0)</f>
        <v>0</v>
      </c>
    </row>
    <row r="141" spans="2:13" ht="15">
      <c r="B141" s="11"/>
      <c r="C141" s="12"/>
      <c r="D141" s="13"/>
      <c r="E141" s="11"/>
      <c r="F141" s="11"/>
      <c r="G141" s="11"/>
      <c r="H141" s="11"/>
      <c r="I141" s="11"/>
      <c r="J141" s="11"/>
      <c r="K141" s="7" t="s">
        <v>63</v>
      </c>
      <c r="L141" s="8">
        <f>ROUND(IF('Cash Flow IRR Module Inputs'!C36&lt;20,('Cash Flow Proforma'!K87*'Cash Flow IRR Module Inputs'!C36)/100,'Cash Flow IRR Module Inputs'!C36),0)</f>
        <v>0</v>
      </c>
      <c r="M141" s="8">
        <f>L143</f>
        <v>0</v>
      </c>
    </row>
    <row r="142" spans="2:13" ht="15">
      <c r="B142" s="11"/>
      <c r="C142" s="12"/>
      <c r="D142" s="13"/>
      <c r="E142" s="11"/>
      <c r="F142" s="11"/>
      <c r="G142" s="11"/>
      <c r="H142" s="11"/>
      <c r="I142" s="11"/>
      <c r="J142" s="11"/>
      <c r="K142" s="7" t="s">
        <v>64</v>
      </c>
      <c r="L142" s="8">
        <f>ROUND(L141/'Cash Flow IRR Module Inputs'!C34,0)</f>
        <v>0</v>
      </c>
      <c r="M142" s="8">
        <f>L142</f>
        <v>0</v>
      </c>
    </row>
    <row r="143" spans="2:13" ht="15">
      <c r="B143" s="11"/>
      <c r="C143" s="12"/>
      <c r="D143" s="13"/>
      <c r="E143" s="11"/>
      <c r="F143" s="11"/>
      <c r="G143" s="11"/>
      <c r="H143" s="11"/>
      <c r="I143" s="11"/>
      <c r="J143" s="11"/>
      <c r="K143" s="7" t="s">
        <v>65</v>
      </c>
      <c r="L143" s="8">
        <f>L141-L142</f>
        <v>0</v>
      </c>
      <c r="M143" s="8">
        <f>M141-M142</f>
        <v>0</v>
      </c>
    </row>
    <row r="144" spans="2:13" ht="15">
      <c r="B144" s="11"/>
      <c r="C144" s="12"/>
      <c r="D144" s="13"/>
      <c r="E144" s="11"/>
      <c r="F144" s="11"/>
      <c r="G144" s="11"/>
      <c r="H144" s="11"/>
      <c r="I144" s="11"/>
      <c r="J144" s="11"/>
      <c r="K144" s="11"/>
      <c r="L144" s="7" t="s">
        <v>62</v>
      </c>
      <c r="M144" s="23">
        <f>ROUND(PMT('Cash Flow IRR Module Inputs'!C32/'Cash Flow IRR Module Inputs'!C35,'Cash Flow IRR Module Inputs'!C33*'Cash Flow IRR Module Inputs'!C35,-L87,0,0),2)</f>
        <v>0</v>
      </c>
    </row>
    <row r="145" spans="2:13" ht="15">
      <c r="B145" s="11"/>
      <c r="C145" s="12"/>
      <c r="D145" s="13"/>
      <c r="E145" s="11"/>
      <c r="F145" s="11"/>
      <c r="G145" s="11"/>
      <c r="H145" s="11"/>
      <c r="I145" s="11"/>
      <c r="J145" s="11"/>
      <c r="K145" s="11"/>
      <c r="L145" s="7" t="s">
        <v>61</v>
      </c>
      <c r="M145" s="23">
        <f>M144*'Cash Flow IRR Module Inputs'!C35</f>
        <v>0</v>
      </c>
    </row>
    <row r="146" spans="2:13" ht="15">
      <c r="B146" s="11"/>
      <c r="C146" s="12"/>
      <c r="D146" s="13"/>
      <c r="E146" s="11"/>
      <c r="F146" s="11"/>
      <c r="G146" s="11"/>
      <c r="H146" s="11"/>
      <c r="I146" s="11"/>
      <c r="J146" s="11"/>
      <c r="K146" s="11"/>
      <c r="L146" s="7" t="s">
        <v>59</v>
      </c>
      <c r="M146" s="23">
        <f>M145-(L87-M147)</f>
        <v>0</v>
      </c>
    </row>
    <row r="147" spans="2:13" ht="15">
      <c r="B147" s="11"/>
      <c r="C147" s="12"/>
      <c r="D147" s="13"/>
      <c r="E147" s="11"/>
      <c r="F147" s="11"/>
      <c r="G147" s="11"/>
      <c r="H147" s="11"/>
      <c r="I147" s="11"/>
      <c r="J147" s="11"/>
      <c r="K147" s="11"/>
      <c r="L147" s="7" t="s">
        <v>60</v>
      </c>
      <c r="M147" s="23">
        <f>ROUND(FV('Cash Flow IRR Module Inputs'!C32/'Cash Flow IRR Module Inputs'!C35,D85*'Cash Flow IRR Module Inputs'!C35,M144,-L87,0),0)</f>
        <v>0</v>
      </c>
    </row>
    <row r="148" spans="2:13" ht="15">
      <c r="B148" s="11"/>
      <c r="C148" s="12"/>
      <c r="D148" s="13"/>
      <c r="E148" s="11"/>
      <c r="F148" s="11"/>
      <c r="G148" s="11"/>
      <c r="H148" s="11"/>
      <c r="I148" s="11"/>
      <c r="J148" s="11"/>
      <c r="K148" s="11"/>
      <c r="L148" s="7" t="s">
        <v>63</v>
      </c>
      <c r="M148" s="8">
        <f>ROUND(IF('Cash Flow IRR Module Inputs'!C36&lt;20,('Cash Flow Proforma'!L87*'Cash Flow IRR Module Inputs'!C36)/100,'Cash Flow IRR Module Inputs'!C36),0)</f>
        <v>0</v>
      </c>
    </row>
    <row r="149" spans="2:13" ht="15">
      <c r="B149" s="11"/>
      <c r="C149" s="12"/>
      <c r="D149" s="13"/>
      <c r="E149" s="11"/>
      <c r="F149" s="11"/>
      <c r="G149" s="11"/>
      <c r="H149" s="11"/>
      <c r="I149" s="11"/>
      <c r="J149" s="11"/>
      <c r="K149" s="11"/>
      <c r="L149" s="7" t="s">
        <v>64</v>
      </c>
      <c r="M149" s="8">
        <f>ROUND(M148/'Cash Flow IRR Module Inputs'!C34,0)</f>
        <v>0</v>
      </c>
    </row>
    <row r="150" spans="2:13" ht="15">
      <c r="B150" s="11"/>
      <c r="C150" s="12"/>
      <c r="D150" s="13"/>
      <c r="E150" s="11"/>
      <c r="F150" s="11"/>
      <c r="G150" s="11"/>
      <c r="H150" s="11"/>
      <c r="I150" s="11"/>
      <c r="J150" s="11"/>
      <c r="K150" s="11"/>
      <c r="L150" s="7" t="s">
        <v>65</v>
      </c>
      <c r="M150" s="8">
        <f>M148-M149</f>
        <v>0</v>
      </c>
    </row>
  </sheetData>
  <sheetProtection selectLockedCells="1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S94"/>
  <sheetViews>
    <sheetView showGridLines="0" showRowColHeaders="0" zoomScale="75" zoomScaleNormal="75" workbookViewId="0" topLeftCell="A1">
      <selection activeCell="D75" sqref="D75"/>
    </sheetView>
  </sheetViews>
  <sheetFormatPr defaultColWidth="9.140625" defaultRowHeight="12.75"/>
  <cols>
    <col min="1" max="2" width="9.140625" style="68" customWidth="1"/>
    <col min="3" max="3" width="44.7109375" style="68" bestFit="1" customWidth="1"/>
    <col min="4" max="4" width="14.00390625" style="68" bestFit="1" customWidth="1"/>
    <col min="5" max="16384" width="9.140625" style="68" customWidth="1"/>
  </cols>
  <sheetData>
    <row r="1" spans="1:19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</row>
    <row r="7" spans="1:19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12.7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</row>
    <row r="18" spans="1:19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5.75">
      <c r="A22" s="67"/>
      <c r="B22" s="67"/>
      <c r="C22" s="69"/>
      <c r="D22" s="6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</row>
    <row r="23" spans="1:19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</row>
    <row r="25" spans="1:19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19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19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</row>
    <row r="40" spans="1:19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19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19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3" spans="1:19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</row>
    <row r="44" spans="1:19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</row>
    <row r="45" spans="1:19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</row>
    <row r="48" spans="1:19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</row>
    <row r="49" spans="1:19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</row>
    <row r="50" spans="1:19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</row>
    <row r="51" spans="1:19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19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19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19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19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19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19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19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</row>
    <row r="64" spans="1:19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</row>
    <row r="65" spans="1:19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</row>
    <row r="66" spans="1:19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</row>
    <row r="67" spans="1:19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</row>
    <row r="68" spans="1:19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</row>
    <row r="69" spans="1:19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</row>
    <row r="70" spans="1:19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</row>
    <row r="71" spans="1:19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</row>
    <row r="72" spans="1:19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</row>
    <row r="73" spans="1:19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</row>
    <row r="75" spans="3:7" ht="15.75">
      <c r="C75" s="70" t="s">
        <v>142</v>
      </c>
      <c r="D75" s="189">
        <f>'Cash Flow Proforma'!N12/IF('Cash Flow IRR Module Inputs'!C8=0,0,'Cash Flow IRR Module Inputs'!C8)</f>
        <v>760565.7218372135</v>
      </c>
      <c r="F75" s="212"/>
      <c r="G75" s="212"/>
    </row>
    <row r="76" spans="3:4" ht="15.75">
      <c r="C76" s="70" t="s">
        <v>33</v>
      </c>
      <c r="D76" s="189">
        <f>D75*'Cash Flow IRR Module Inputs'!C9</f>
        <v>53239.60052860495</v>
      </c>
    </row>
    <row r="77" spans="3:4" ht="15.75">
      <c r="C77" s="70" t="s">
        <v>32</v>
      </c>
      <c r="D77" s="189">
        <f>('Cash Flow IRR Module Inputs'!D11+'Cash Flow IRR Module Inputs'!C12)-SUM('Cash Flow Proforma'!D14:M14)</f>
        <v>462500</v>
      </c>
    </row>
    <row r="78" spans="3:4" ht="15.75">
      <c r="C78" s="70" t="s">
        <v>34</v>
      </c>
      <c r="D78" s="189">
        <f>D75-D76-D77</f>
        <v>244826.12130860856</v>
      </c>
    </row>
    <row r="79" spans="3:4" ht="15.75">
      <c r="C79" s="70" t="s">
        <v>31</v>
      </c>
      <c r="D79" s="189">
        <f>SUM('Cash Flow Proforma'!D14:M14)</f>
        <v>187500</v>
      </c>
    </row>
    <row r="80" spans="3:4" ht="15.75">
      <c r="C80" s="70" t="s">
        <v>134</v>
      </c>
      <c r="D80" s="189">
        <f>IF(D79&gt;=D78,0,D78-D79)</f>
        <v>57326.12130860856</v>
      </c>
    </row>
    <row r="81" spans="3:4" ht="15.75">
      <c r="C81" s="70" t="s">
        <v>68</v>
      </c>
      <c r="D81" s="189">
        <f>IF('Cash Flow IRR Module Inputs'!C30=8,-'Cash Flow Proforma'!M143,IF('Cash Flow IRR Module Inputs'!C30=7,-'Cash Flow Proforma'!M136,IF('Cash Flow IRR Module Inputs'!$C$30=6,-'Cash Flow Proforma'!M129,IF('Cash Flow IRR Module Inputs'!$C$30=5,-'Cash Flow Proforma'!M122,IF('Cash Flow IRR Module Inputs'!$C$30=4,-'Cash Flow Proforma'!M115,IF('Cash Flow IRR Module Inputs'!$C$30=3,-'Cash Flow Proforma'!M108,IF('Cash Flow IRR Module Inputs'!$C$30=0,-'Cash Flow Proforma'!M81)))))))</f>
        <v>-3120</v>
      </c>
    </row>
    <row r="82" spans="3:4" ht="15.75">
      <c r="C82" s="70"/>
      <c r="D82" s="190"/>
    </row>
    <row r="83" spans="3:4" ht="15.75">
      <c r="C83" s="70"/>
      <c r="D83" s="190"/>
    </row>
    <row r="84" spans="3:4" ht="15.75">
      <c r="C84" s="70" t="s">
        <v>142</v>
      </c>
      <c r="D84" s="189">
        <f>D75</f>
        <v>760565.7218372135</v>
      </c>
    </row>
    <row r="85" spans="3:4" ht="15.75">
      <c r="C85" s="70" t="s">
        <v>33</v>
      </c>
      <c r="D85" s="189">
        <f>D76</f>
        <v>53239.60052860495</v>
      </c>
    </row>
    <row r="86" spans="3:4" ht="15.75">
      <c r="C86" s="70" t="s">
        <v>35</v>
      </c>
      <c r="D86" s="189">
        <f>IF('Cash Flow IRR Module Inputs'!C30=8,'Cash Flow Proforma'!M140,IF('Cash Flow IRR Module Inputs'!$C$30=7,'Cash Flow Proforma'!M133,IF('Cash Flow IRR Module Inputs'!$C$30=6,'Cash Flow Proforma'!M126,IF('Cash Flow IRR Module Inputs'!$C$30=5,'Cash Flow Proforma'!M119,IF('Cash Flow IRR Module Inputs'!$C$30=4,'Cash Flow Proforma'!M112,IF('Cash Flow IRR Module Inputs'!$C$30=3,'Cash Flow Proforma'!M105,IF('Cash Flow IRR Module Inputs'!$C$30=0,'Cash Flow Proforma'!M78)))))))</f>
        <v>422613</v>
      </c>
    </row>
    <row r="87" spans="3:4" ht="15.75">
      <c r="C87" s="70" t="s">
        <v>36</v>
      </c>
      <c r="D87" s="189">
        <f>D84-D85-D86</f>
        <v>284713.12130860856</v>
      </c>
    </row>
    <row r="88" spans="3:4" ht="15.75">
      <c r="C88" s="70" t="s">
        <v>37</v>
      </c>
      <c r="D88" s="189">
        <f>IF(D79&gt;=D78,D78*'Cash Flow IRR Module Inputs'!C6,'Sale Proceeds'!D79*'Cash Flow IRR Module Inputs'!C6)</f>
        <v>46875</v>
      </c>
    </row>
    <row r="89" spans="3:4" ht="15.75">
      <c r="C89" s="70" t="s">
        <v>135</v>
      </c>
      <c r="D89" s="189">
        <f>D80*'Cash Flow IRR Module Inputs'!C5</f>
        <v>8598.918196291284</v>
      </c>
    </row>
    <row r="90" spans="3:4" ht="15.75">
      <c r="C90" s="70" t="s">
        <v>136</v>
      </c>
      <c r="D90" s="189">
        <f>D81*'Cash Flow IRR Module Inputs'!C4</f>
        <v>-1060.8000000000002</v>
      </c>
    </row>
    <row r="91" spans="3:4" ht="15.75">
      <c r="C91" s="70" t="s">
        <v>38</v>
      </c>
      <c r="D91" s="189">
        <f>D87-D88-D89-D90</f>
        <v>230300.00311231727</v>
      </c>
    </row>
    <row r="93" ht="15.75">
      <c r="D93" s="71">
        <v>0</v>
      </c>
    </row>
    <row r="94" ht="15.75">
      <c r="D94" s="71">
        <v>0</v>
      </c>
    </row>
  </sheetData>
  <sheetProtection selectLockedCells="1" selectUnlockedCells="1"/>
  <mergeCells count="1">
    <mergeCell ref="F75:G75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T121"/>
  <sheetViews>
    <sheetView showGridLines="0" showRowColHeaders="0" zoomScale="75" zoomScaleNormal="75" workbookViewId="0" topLeftCell="A89">
      <selection activeCell="J121" sqref="J12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9.28125" style="0" bestFit="1" customWidth="1"/>
    <col min="4" max="4" width="21.28125" style="0" bestFit="1" customWidth="1"/>
    <col min="5" max="5" width="5.7109375" style="0" customWidth="1"/>
    <col min="6" max="6" width="22.00390625" style="0" bestFit="1" customWidth="1"/>
    <col min="9" max="9" width="9.28125" style="0" bestFit="1" customWidth="1"/>
    <col min="10" max="10" width="21.28125" style="0" bestFit="1" customWidth="1"/>
    <col min="11" max="11" width="5.7109375" style="0" customWidth="1"/>
    <col min="12" max="12" width="22.00390625" style="0" bestFit="1" customWidth="1"/>
  </cols>
  <sheetData>
    <row r="1" spans="1:20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30">
      <c r="A5" s="65"/>
      <c r="B5" s="79"/>
      <c r="C5" s="80"/>
      <c r="D5" s="80"/>
      <c r="E5" s="80"/>
      <c r="F5" s="80"/>
      <c r="G5" s="79"/>
      <c r="H5" s="79"/>
      <c r="I5" s="80"/>
      <c r="J5" s="80"/>
      <c r="K5" s="80"/>
      <c r="L5" s="80"/>
      <c r="M5" s="65"/>
      <c r="N5" s="65"/>
      <c r="O5" s="65"/>
      <c r="P5" s="65"/>
      <c r="Q5" s="65"/>
      <c r="R5" s="65"/>
      <c r="S5" s="65"/>
      <c r="T5" s="65"/>
    </row>
    <row r="6" spans="1:20" ht="30">
      <c r="A6" s="65"/>
      <c r="B6" s="79"/>
      <c r="C6" s="80"/>
      <c r="D6" s="80"/>
      <c r="E6" s="80"/>
      <c r="F6" s="80"/>
      <c r="G6" s="79"/>
      <c r="H6" s="79"/>
      <c r="I6" s="80"/>
      <c r="J6" s="80"/>
      <c r="K6" s="80"/>
      <c r="L6" s="80"/>
      <c r="M6" s="65"/>
      <c r="N6" s="65"/>
      <c r="O6" s="65"/>
      <c r="P6" s="65"/>
      <c r="Q6" s="65"/>
      <c r="R6" s="65"/>
      <c r="S6" s="65"/>
      <c r="T6" s="65"/>
    </row>
    <row r="7" spans="1:20" ht="12.75">
      <c r="A7" s="6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65"/>
      <c r="N7" s="65"/>
      <c r="O7" s="65"/>
      <c r="P7" s="65"/>
      <c r="Q7" s="65"/>
      <c r="R7" s="65"/>
      <c r="S7" s="65"/>
      <c r="T7" s="65"/>
    </row>
    <row r="8" spans="1:20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1:20" ht="12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12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0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1:20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0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1:20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0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1:20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0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1:20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1:20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spans="1:20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</row>
    <row r="43" spans="1:20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  <row r="46" spans="1:20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</row>
    <row r="47" spans="1:20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</row>
    <row r="48" spans="1:20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</row>
    <row r="49" spans="1:20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</row>
    <row r="50" spans="1:20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</row>
    <row r="51" spans="1:20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</row>
    <row r="52" spans="1:20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</row>
    <row r="53" spans="1:20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</row>
    <row r="54" spans="1:20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1:20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</row>
    <row r="56" spans="1:20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</row>
    <row r="57" spans="1:20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</row>
    <row r="58" spans="1:20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</row>
    <row r="59" spans="1:20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0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</row>
    <row r="61" spans="1:20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</row>
    <row r="62" spans="1:20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</row>
    <row r="63" spans="1:20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</row>
    <row r="64" spans="1:20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</row>
    <row r="65" spans="1:20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</row>
    <row r="66" spans="1:20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</row>
    <row r="67" spans="1:20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</row>
    <row r="68" spans="1:20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</row>
    <row r="69" spans="1:20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</row>
    <row r="70" spans="1:20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1:20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:20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</row>
    <row r="73" spans="1:20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</row>
    <row r="74" spans="1:20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</row>
    <row r="76" spans="2:12" ht="18">
      <c r="B76" s="34"/>
      <c r="C76" s="76" t="s">
        <v>39</v>
      </c>
      <c r="D76" s="76" t="s">
        <v>41</v>
      </c>
      <c r="E76" s="77"/>
      <c r="F76" s="77"/>
      <c r="G76" s="77"/>
      <c r="H76" s="77"/>
      <c r="I76" s="76" t="s">
        <v>39</v>
      </c>
      <c r="J76" s="77"/>
      <c r="K76" s="77"/>
      <c r="L76" s="77"/>
    </row>
    <row r="77" spans="2:12" ht="18">
      <c r="B77" s="34"/>
      <c r="C77" s="76">
        <v>0</v>
      </c>
      <c r="D77" s="78">
        <f>-'Acquisition Info'!D112</f>
        <v>-135200</v>
      </c>
      <c r="E77" s="77"/>
      <c r="F77" s="77"/>
      <c r="G77" s="77"/>
      <c r="H77" s="77"/>
      <c r="I77" s="76">
        <v>0</v>
      </c>
      <c r="J77" s="78">
        <f>-'Acquisition Info'!D112</f>
        <v>-135200</v>
      </c>
      <c r="K77" s="77"/>
      <c r="L77" s="77"/>
    </row>
    <row r="78" spans="2:12" ht="18">
      <c r="B78" s="34"/>
      <c r="C78" s="76">
        <v>1</v>
      </c>
      <c r="D78" s="78">
        <f>'Cash Flow Proforma'!D22</f>
        <v>6337.720000000001</v>
      </c>
      <c r="E78" s="77"/>
      <c r="F78" s="77"/>
      <c r="G78" s="77"/>
      <c r="H78" s="77"/>
      <c r="I78" s="76">
        <v>1</v>
      </c>
      <c r="J78" s="78">
        <f>'Cash Flow Proforma'!D24</f>
        <v>8190.475200000001</v>
      </c>
      <c r="K78" s="77"/>
      <c r="L78" s="77"/>
    </row>
    <row r="79" spans="2:12" ht="18">
      <c r="B79" s="34"/>
      <c r="C79" s="76">
        <v>2</v>
      </c>
      <c r="D79" s="78">
        <f>'Cash Flow Proforma'!E22</f>
        <v>8117.459999999999</v>
      </c>
      <c r="E79" s="77"/>
      <c r="F79" s="77"/>
      <c r="G79" s="77"/>
      <c r="H79" s="77"/>
      <c r="I79" s="76">
        <v>2</v>
      </c>
      <c r="J79" s="78">
        <f>'Cash Flow Proforma'!E24</f>
        <v>9441.2636</v>
      </c>
      <c r="K79" s="77"/>
      <c r="L79" s="77"/>
    </row>
    <row r="80" spans="2:12" ht="18">
      <c r="B80" s="34"/>
      <c r="C80" s="76">
        <v>3</v>
      </c>
      <c r="D80" s="78">
        <f>'Cash Flow Proforma'!F22</f>
        <v>9952.864799999996</v>
      </c>
      <c r="E80" s="77"/>
      <c r="F80" s="77"/>
      <c r="G80" s="77"/>
      <c r="H80" s="77"/>
      <c r="I80" s="76">
        <v>3</v>
      </c>
      <c r="J80" s="78">
        <f>'Cash Flow Proforma'!F24</f>
        <v>10445.910767999998</v>
      </c>
      <c r="K80" s="77"/>
      <c r="L80" s="77"/>
    </row>
    <row r="81" spans="2:12" ht="18">
      <c r="B81" s="34"/>
      <c r="C81" s="76">
        <v>4</v>
      </c>
      <c r="D81" s="78">
        <f>'Cash Flow Proforma'!G22</f>
        <v>11845.649795999998</v>
      </c>
      <c r="E81" s="77"/>
      <c r="F81" s="77"/>
      <c r="G81" s="77"/>
      <c r="H81" s="77"/>
      <c r="I81" s="76">
        <v>4</v>
      </c>
      <c r="J81" s="78">
        <f>'Cash Flow Proforma'!G24</f>
        <v>11470.40886536</v>
      </c>
      <c r="K81" s="77"/>
      <c r="L81" s="77"/>
    </row>
    <row r="82" spans="2:12" ht="18">
      <c r="B82" s="34"/>
      <c r="C82" s="76">
        <v>5</v>
      </c>
      <c r="D82" s="78">
        <f>'Cash Flow Proforma'!H22</f>
        <v>13797.582754920011</v>
      </c>
      <c r="E82" s="77"/>
      <c r="F82" s="77"/>
      <c r="G82" s="77"/>
      <c r="H82" s="77"/>
      <c r="I82" s="76">
        <v>5</v>
      </c>
      <c r="J82" s="78">
        <f>'Cash Flow Proforma'!H24</f>
        <v>12514.564618247208</v>
      </c>
      <c r="K82" s="77"/>
      <c r="L82" s="77"/>
    </row>
    <row r="83" spans="2:12" ht="18">
      <c r="B83" s="34"/>
      <c r="C83" s="76">
        <v>6</v>
      </c>
      <c r="D83" s="78">
        <f>'Cash Flow Proforma'!I22</f>
        <v>15810.48540390841</v>
      </c>
      <c r="E83" s="77"/>
      <c r="F83" s="77"/>
      <c r="G83" s="77"/>
      <c r="H83" s="77"/>
      <c r="I83" s="76">
        <v>6</v>
      </c>
      <c r="J83" s="78">
        <f>'Cash Flow Proforma'!I24</f>
        <v>13578.22036657955</v>
      </c>
      <c r="K83" s="77"/>
      <c r="L83" s="77"/>
    </row>
    <row r="84" spans="2:12" ht="18">
      <c r="B84" s="34"/>
      <c r="C84" s="76">
        <v>7</v>
      </c>
      <c r="D84" s="78">
        <f>'Cash Flow Proforma'!J22</f>
        <v>17886.235067693284</v>
      </c>
      <c r="E84" s="77"/>
      <c r="F84" s="77"/>
      <c r="G84" s="77"/>
      <c r="H84" s="77"/>
      <c r="I84" s="76">
        <v>7</v>
      </c>
      <c r="J84" s="78">
        <f>'Cash Flow Proforma'!J24</f>
        <v>14660.575144677567</v>
      </c>
      <c r="K84" s="77"/>
      <c r="L84" s="77"/>
    </row>
    <row r="85" spans="2:12" ht="18">
      <c r="B85" s="34"/>
      <c r="C85" s="76">
        <v>8</v>
      </c>
      <c r="D85" s="78">
        <f>'Cash Flow Proforma'!K22</f>
        <v>20026.76635542506</v>
      </c>
      <c r="E85" s="77"/>
      <c r="F85" s="77"/>
      <c r="G85" s="77"/>
      <c r="H85" s="77"/>
      <c r="I85" s="76">
        <v>8</v>
      </c>
      <c r="J85" s="78">
        <f>'Cash Flow Proforma'!K24</f>
        <v>15761.205794580539</v>
      </c>
      <c r="K85" s="77"/>
      <c r="L85" s="77"/>
    </row>
    <row r="86" spans="2:12" ht="18">
      <c r="B86" s="34"/>
      <c r="C86" s="76">
        <v>9</v>
      </c>
      <c r="D86" s="78">
        <f>'Cash Flow Proforma'!L22</f>
        <v>22234.07289850281</v>
      </c>
      <c r="E86" s="77"/>
      <c r="F86" s="77"/>
      <c r="G86" s="77"/>
      <c r="H86" s="77"/>
      <c r="I86" s="76">
        <v>9</v>
      </c>
      <c r="J86" s="78">
        <f>'Cash Flow Proforma'!L24</f>
        <v>16879.048113011857</v>
      </c>
      <c r="K86" s="77"/>
      <c r="L86" s="77"/>
    </row>
    <row r="87" spans="2:12" ht="18">
      <c r="B87" s="34"/>
      <c r="C87" s="76">
        <v>10</v>
      </c>
      <c r="D87" s="78">
        <f>'Cash Flow Proforma'!M22</f>
        <v>24510.209140921186</v>
      </c>
      <c r="E87" s="76" t="s">
        <v>40</v>
      </c>
      <c r="F87" s="78">
        <f>'Sale Proceeds'!D87</f>
        <v>284713.12130860856</v>
      </c>
      <c r="G87" s="77"/>
      <c r="H87" s="77"/>
      <c r="I87" s="76">
        <v>10</v>
      </c>
      <c r="J87" s="78">
        <f>'Cash Flow Proforma'!M24</f>
        <v>17746.518033007982</v>
      </c>
      <c r="K87" s="76" t="s">
        <v>40</v>
      </c>
      <c r="L87" s="78">
        <f>'Sale Proceeds'!D91</f>
        <v>230300.00311231727</v>
      </c>
    </row>
    <row r="88" spans="2:12" ht="25.5">
      <c r="B88" s="34"/>
      <c r="C88" s="35"/>
      <c r="D88" s="35"/>
      <c r="E88" s="35"/>
      <c r="F88" s="35"/>
      <c r="G88" s="34"/>
      <c r="H88" s="34"/>
      <c r="I88" s="35"/>
      <c r="J88" s="35"/>
      <c r="K88" s="35"/>
      <c r="L88" s="35"/>
    </row>
    <row r="89" spans="2:12" ht="25.5">
      <c r="B89" s="213" t="s">
        <v>42</v>
      </c>
      <c r="C89" s="213"/>
      <c r="D89" s="39">
        <f>IF(D109=0,0,IRR(D109:D119,0.1))</f>
        <v>0.14944569705970176</v>
      </c>
      <c r="E89" s="35"/>
      <c r="F89" s="35"/>
      <c r="G89" s="34"/>
      <c r="H89" s="213" t="s">
        <v>42</v>
      </c>
      <c r="I89" s="213"/>
      <c r="J89" s="39">
        <f>IF(J109=0,0,IRR(J109:J119,0.1))</f>
        <v>0.1276710532295341</v>
      </c>
      <c r="K89" s="35"/>
      <c r="L89" s="35"/>
    </row>
    <row r="92" spans="3:4" ht="15.75">
      <c r="C92" s="72">
        <v>0</v>
      </c>
      <c r="D92" s="2">
        <f>-('Acquisition Info'!D63+'Acquisition Info'!D64)</f>
        <v>-650000</v>
      </c>
    </row>
    <row r="93" spans="3:4" ht="15.75">
      <c r="C93" s="72">
        <v>1</v>
      </c>
      <c r="D93" s="2">
        <f>'Cash Flow Proforma'!D12</f>
        <v>55537</v>
      </c>
    </row>
    <row r="94" spans="3:4" ht="15.75">
      <c r="C94" s="72">
        <v>2</v>
      </c>
      <c r="D94" s="2">
        <f>'Cash Flow Proforma'!E12</f>
        <v>57316.74</v>
      </c>
    </row>
    <row r="95" spans="3:4" ht="15.75">
      <c r="C95" s="72">
        <v>3</v>
      </c>
      <c r="D95" s="2">
        <f>'Cash Flow Proforma'!F12</f>
        <v>59152.144799999995</v>
      </c>
    </row>
    <row r="96" spans="3:4" ht="15.75">
      <c r="C96" s="72">
        <v>4</v>
      </c>
      <c r="D96" s="2">
        <f>'Cash Flow Proforma'!G12</f>
        <v>61044.929796</v>
      </c>
    </row>
    <row r="97" spans="3:4" ht="15.75">
      <c r="C97" s="72">
        <v>5</v>
      </c>
      <c r="D97" s="2">
        <f>'Cash Flow Proforma'!H12</f>
        <v>62996.86275492001</v>
      </c>
    </row>
    <row r="98" spans="3:4" ht="15.75">
      <c r="C98" s="72">
        <v>6</v>
      </c>
      <c r="D98" s="2">
        <f>'Cash Flow Proforma'!I12</f>
        <v>65009.76540390841</v>
      </c>
    </row>
    <row r="99" spans="3:4" ht="15.75">
      <c r="C99" s="72">
        <v>7</v>
      </c>
      <c r="D99" s="2">
        <f>'Cash Flow Proforma'!J12</f>
        <v>67085.51506769328</v>
      </c>
    </row>
    <row r="100" spans="3:4" ht="15.75">
      <c r="C100" s="72">
        <v>8</v>
      </c>
      <c r="D100" s="2">
        <f>'Cash Flow Proforma'!K12</f>
        <v>69226.04635542506</v>
      </c>
    </row>
    <row r="101" spans="3:4" ht="15.75">
      <c r="C101" s="72">
        <v>9</v>
      </c>
      <c r="D101" s="2">
        <f>'Cash Flow Proforma'!L12</f>
        <v>71433.35289850281</v>
      </c>
    </row>
    <row r="102" spans="3:6" ht="15.75">
      <c r="C102" s="72">
        <v>10</v>
      </c>
      <c r="D102" s="2">
        <f>'Cash Flow Proforma'!M12</f>
        <v>73709.48914092119</v>
      </c>
      <c r="F102" s="2">
        <f>'Sale Proceeds'!D84-'Sale Proceeds'!D85</f>
        <v>707326.1213086086</v>
      </c>
    </row>
    <row r="108" spans="4:10" ht="15.75">
      <c r="D108" s="74" t="s">
        <v>137</v>
      </c>
      <c r="E108" s="73"/>
      <c r="F108" s="73" t="s">
        <v>139</v>
      </c>
      <c r="G108" s="73"/>
      <c r="H108" s="73"/>
      <c r="I108" s="73"/>
      <c r="J108" s="74" t="s">
        <v>138</v>
      </c>
    </row>
    <row r="109" spans="4:10" ht="15.75">
      <c r="D109" s="2">
        <f aca="true" t="shared" si="0" ref="D109:D118">D77</f>
        <v>-135200</v>
      </c>
      <c r="F109" s="2">
        <f aca="true" t="shared" si="1" ref="F109:F118">D92</f>
        <v>-650000</v>
      </c>
      <c r="J109" s="2">
        <f aca="true" t="shared" si="2" ref="J109:J118">J77</f>
        <v>-135200</v>
      </c>
    </row>
    <row r="110" spans="4:10" ht="15.75">
      <c r="D110" s="2">
        <f t="shared" si="0"/>
        <v>6337.720000000001</v>
      </c>
      <c r="F110" s="2">
        <f t="shared" si="1"/>
        <v>55537</v>
      </c>
      <c r="J110" s="2">
        <f t="shared" si="2"/>
        <v>8190.475200000001</v>
      </c>
    </row>
    <row r="111" spans="4:10" ht="15.75">
      <c r="D111" s="2">
        <f t="shared" si="0"/>
        <v>8117.459999999999</v>
      </c>
      <c r="F111" s="2">
        <f t="shared" si="1"/>
        <v>57316.74</v>
      </c>
      <c r="J111" s="2">
        <f t="shared" si="2"/>
        <v>9441.2636</v>
      </c>
    </row>
    <row r="112" spans="4:10" ht="15.75">
      <c r="D112" s="2">
        <f t="shared" si="0"/>
        <v>9952.864799999996</v>
      </c>
      <c r="F112" s="2">
        <f t="shared" si="1"/>
        <v>59152.144799999995</v>
      </c>
      <c r="J112" s="2">
        <f t="shared" si="2"/>
        <v>10445.910767999998</v>
      </c>
    </row>
    <row r="113" spans="4:10" ht="15.75">
      <c r="D113" s="2">
        <f t="shared" si="0"/>
        <v>11845.649795999998</v>
      </c>
      <c r="F113" s="2">
        <f t="shared" si="1"/>
        <v>61044.929796</v>
      </c>
      <c r="J113" s="2">
        <f t="shared" si="2"/>
        <v>11470.40886536</v>
      </c>
    </row>
    <row r="114" spans="4:10" ht="15.75">
      <c r="D114" s="2">
        <f t="shared" si="0"/>
        <v>13797.582754920011</v>
      </c>
      <c r="F114" s="2">
        <f t="shared" si="1"/>
        <v>62996.86275492001</v>
      </c>
      <c r="J114" s="2">
        <f t="shared" si="2"/>
        <v>12514.564618247208</v>
      </c>
    </row>
    <row r="115" spans="4:10" ht="15.75">
      <c r="D115" s="2">
        <f t="shared" si="0"/>
        <v>15810.48540390841</v>
      </c>
      <c r="F115" s="2">
        <f t="shared" si="1"/>
        <v>65009.76540390841</v>
      </c>
      <c r="J115" s="2">
        <f t="shared" si="2"/>
        <v>13578.22036657955</v>
      </c>
    </row>
    <row r="116" spans="4:10" ht="15.75">
      <c r="D116" s="2">
        <f t="shared" si="0"/>
        <v>17886.235067693284</v>
      </c>
      <c r="F116" s="2">
        <f t="shared" si="1"/>
        <v>67085.51506769328</v>
      </c>
      <c r="J116" s="2">
        <f t="shared" si="2"/>
        <v>14660.575144677567</v>
      </c>
    </row>
    <row r="117" spans="4:10" ht="15.75">
      <c r="D117" s="2">
        <f t="shared" si="0"/>
        <v>20026.76635542506</v>
      </c>
      <c r="F117" s="2">
        <f t="shared" si="1"/>
        <v>69226.04635542506</v>
      </c>
      <c r="J117" s="2">
        <f t="shared" si="2"/>
        <v>15761.205794580539</v>
      </c>
    </row>
    <row r="118" spans="4:10" ht="15.75">
      <c r="D118" s="2">
        <f t="shared" si="0"/>
        <v>22234.07289850281</v>
      </c>
      <c r="F118" s="2">
        <f t="shared" si="1"/>
        <v>71433.35289850281</v>
      </c>
      <c r="J118" s="2">
        <f t="shared" si="2"/>
        <v>16879.048113011857</v>
      </c>
    </row>
    <row r="119" spans="4:10" ht="15.75">
      <c r="D119" s="2">
        <f>D87+F87</f>
        <v>309223.33044952975</v>
      </c>
      <c r="F119" s="2">
        <f>D102+F102</f>
        <v>781035.6104495297</v>
      </c>
      <c r="J119" s="2">
        <f>J87+L87</f>
        <v>248046.52114532524</v>
      </c>
    </row>
    <row r="120" ht="15.75">
      <c r="D120" s="75"/>
    </row>
    <row r="121" spans="4:10" ht="15.75">
      <c r="D121" s="1">
        <f>IF(D109=0,0,IRR(D109:D120,0.1))</f>
        <v>0.14944569705970176</v>
      </c>
      <c r="E121" s="1"/>
      <c r="F121" s="1">
        <f>IF(F109=0,0,IRR(F109:F120,0.1))</f>
        <v>0.10189710146167272</v>
      </c>
      <c r="G121" s="1"/>
      <c r="H121" s="1"/>
      <c r="I121" s="1"/>
      <c r="J121" s="1">
        <f>IF(J109=0,0,IRR(J109:J120,0.1))</f>
        <v>0.1276710532295341</v>
      </c>
    </row>
  </sheetData>
  <sheetProtection selectLockedCells="1" selectUnlockedCells="1"/>
  <mergeCells count="2">
    <mergeCell ref="B89:C89"/>
    <mergeCell ref="H89:I89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2:L32"/>
  <sheetViews>
    <sheetView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2" width="41.140625" style="0" customWidth="1"/>
    <col min="3" max="3" width="9.00390625" style="0" customWidth="1"/>
    <col min="4" max="4" width="8.28125" style="0" customWidth="1"/>
  </cols>
  <sheetData>
    <row r="2" spans="2:4" ht="12.75">
      <c r="B2" t="s">
        <v>165</v>
      </c>
      <c r="C2" s="197">
        <f>'Cash Flow IRR Module Inputs'!C38</f>
        <v>0.125</v>
      </c>
      <c r="D2" t="s">
        <v>172</v>
      </c>
    </row>
    <row r="3" spans="2:4" ht="12.75">
      <c r="B3" t="s">
        <v>169</v>
      </c>
      <c r="C3" s="197">
        <f>Yields!J89</f>
        <v>0.1276710532295341</v>
      </c>
      <c r="D3" t="s">
        <v>170</v>
      </c>
    </row>
    <row r="4" spans="2:5" ht="20.25">
      <c r="B4" s="198" t="s">
        <v>166</v>
      </c>
      <c r="C4" s="216">
        <f>NPV(C2,B18:L18)</f>
        <v>2207.5718506704497</v>
      </c>
      <c r="D4" s="217"/>
      <c r="E4" s="217"/>
    </row>
    <row r="5" spans="2:5" ht="20.25">
      <c r="B5" s="199" t="s">
        <v>167</v>
      </c>
      <c r="C5" s="218">
        <f>-B18</f>
        <v>135200</v>
      </c>
      <c r="D5" s="217"/>
      <c r="E5" s="217"/>
    </row>
    <row r="6" spans="2:5" ht="20.25">
      <c r="B6" s="198" t="s">
        <v>164</v>
      </c>
      <c r="C6" s="218">
        <f>'Acquisition Info'!D77</f>
        <v>520000</v>
      </c>
      <c r="D6" s="217"/>
      <c r="E6" s="217"/>
    </row>
    <row r="7" spans="2:5" ht="18">
      <c r="B7" s="214" t="s">
        <v>168</v>
      </c>
      <c r="C7" s="219">
        <f>SUM(C4:E6)</f>
        <v>657407.5718506705</v>
      </c>
      <c r="D7" s="220"/>
      <c r="E7" s="220"/>
    </row>
    <row r="8" spans="2:5" ht="27" customHeight="1">
      <c r="B8" s="215"/>
      <c r="C8" s="195"/>
      <c r="D8" s="195"/>
      <c r="E8" s="195"/>
    </row>
    <row r="16" spans="2:12" ht="12.75">
      <c r="B16" s="196" t="s">
        <v>162</v>
      </c>
      <c r="C16" t="s">
        <v>163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8" spans="2:12" ht="12.75">
      <c r="B18" s="3">
        <f>-'Acquisition Info'!D66</f>
        <v>-135200</v>
      </c>
      <c r="C18" s="3">
        <f>'Cash Flow Proforma'!D24</f>
        <v>8190.475200000001</v>
      </c>
      <c r="D18" s="3">
        <f>'Cash Flow Proforma'!E24</f>
        <v>9441.2636</v>
      </c>
      <c r="E18" s="3">
        <f>'Cash Flow Proforma'!F24</f>
        <v>10445.910767999998</v>
      </c>
      <c r="F18" s="3">
        <f>'Cash Flow Proforma'!G24</f>
        <v>11470.40886536</v>
      </c>
      <c r="G18" s="3">
        <f>'Cash Flow Proforma'!H24</f>
        <v>12514.564618247208</v>
      </c>
      <c r="H18" s="3">
        <f>'Cash Flow Proforma'!I24</f>
        <v>13578.22036657955</v>
      </c>
      <c r="I18" s="3">
        <f>'Cash Flow Proforma'!J24</f>
        <v>14660.575144677567</v>
      </c>
      <c r="J18" s="3">
        <f>'Cash Flow Proforma'!K24</f>
        <v>15761.205794580539</v>
      </c>
      <c r="K18" s="3">
        <f>'Cash Flow Proforma'!L24</f>
        <v>16879.048113011857</v>
      </c>
      <c r="L18" s="3">
        <f>'Cash Flow Proforma'!M24+'Sale Proceeds'!D91</f>
        <v>248046.52114532524</v>
      </c>
    </row>
    <row r="32" ht="12.75">
      <c r="G32" s="191"/>
    </row>
  </sheetData>
  <mergeCells count="5">
    <mergeCell ref="B7:B8"/>
    <mergeCell ref="C4:E4"/>
    <mergeCell ref="C5:E5"/>
    <mergeCell ref="C7:E7"/>
    <mergeCell ref="C6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Discounted Cash Flow Analysis with IRR and NPV</dc:title>
  <dc:subject/>
  <dc:creator>Miller with some inout from Bob Ward</dc:creator>
  <cp:keywords/>
  <dc:description/>
  <cp:lastModifiedBy>Norm G Miller</cp:lastModifiedBy>
  <cp:lastPrinted>2002-07-08T18:38:52Z</cp:lastPrinted>
  <dcterms:created xsi:type="dcterms:W3CDTF">2002-07-03T02:57:42Z</dcterms:created>
  <dcterms:modified xsi:type="dcterms:W3CDTF">2005-05-08T17:57:49Z</dcterms:modified>
  <cp:category/>
  <cp:version/>
  <cp:contentType/>
  <cp:contentStatus/>
  <cp:revision>3</cp:revision>
</cp:coreProperties>
</file>